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ĐKT" sheetId="1" r:id="rId1"/>
  </sheets>
  <definedNames>
    <definedName name="_xlnm.Print_Area" localSheetId="0">'CĐKT'!$A$1:$GV$70</definedName>
    <definedName name="_xlnm.Print_Titles" localSheetId="0">'CĐKT'!$A:$B,'CĐKT'!$7:$14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W12" authorId="0">
      <text>
        <r>
          <rPr>
            <b/>
            <sz val="9"/>
            <rFont val="Tahoma"/>
            <family val="2"/>
          </rPr>
          <t xml:space="preserve">note:
Không có trong Mẫu QĐ 15 
 nhưng TCTy Bến Thành có </t>
        </r>
      </text>
    </comment>
  </commentList>
</comments>
</file>

<file path=xl/sharedStrings.xml><?xml version="1.0" encoding="utf-8"?>
<sst xmlns="http://schemas.openxmlformats.org/spreadsheetml/2006/main" count="505" uniqueCount="257">
  <si>
    <t>STT</t>
  </si>
  <si>
    <t>TÊN DOANH NGHIỆP</t>
  </si>
  <si>
    <t>TỔNG TÀI SẢN</t>
  </si>
  <si>
    <t>TỔNG NGUỒN VỐN</t>
  </si>
  <si>
    <t>Kiểm tra só liệu 
Tổng tài sản và tổng nguồn vốn</t>
  </si>
  <si>
    <t>Tổng số</t>
  </si>
  <si>
    <t>Tài sản ngắn hạn</t>
  </si>
  <si>
    <t>Tài sản dài hạn</t>
  </si>
  <si>
    <t>Nợ phải trả</t>
  </si>
  <si>
    <t>Vốn chủ sở hữu</t>
  </si>
  <si>
    <t>Trong đó</t>
  </si>
  <si>
    <t>Nguồn kinh phí và quỹ khác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</si>
  <si>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</si>
  <si>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</si>
  <si>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</si>
  <si>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</si>
  <si>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</si>
  <si>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Các khoản phải thu dài hạn</t>
  </si>
  <si>
    <t>Tài sản cố định</t>
  </si>
  <si>
    <t>Bất động sản đầu tư</t>
  </si>
  <si>
    <t>Các khoản đầu tư tài chính dài hạn</t>
  </si>
  <si>
    <t>Tài sản dài hạn khác</t>
  </si>
  <si>
    <t>Nợ ngắn hạn</t>
  </si>
  <si>
    <t>Nợ dài hạn</t>
  </si>
  <si>
    <t>Tài sản cố định hữu hình</t>
  </si>
  <si>
    <t>Tài sản cố định thuê tài chính</t>
  </si>
  <si>
    <t>Tài sản cố định vô hình</t>
  </si>
  <si>
    <t>Chi phí xây dựng 
cơ bản dở dang</t>
  </si>
  <si>
    <t>Vốn đầu tư của chủ sở hữu</t>
  </si>
  <si>
    <t>Quỹ đầu tư phát triển</t>
  </si>
  <si>
    <t>Quỹ dự phòng tài chính</t>
  </si>
  <si>
    <t>Quỹ khác thuộc vốn chủ sở hữu</t>
  </si>
  <si>
    <t>Nguồn vốn đầu tư XDCB</t>
  </si>
  <si>
    <t>MS BCĐKT 270</t>
  </si>
  <si>
    <t>MS BCĐKT 100</t>
  </si>
  <si>
    <t>MS BCĐKT 110</t>
  </si>
  <si>
    <t>MS BCĐKT 120</t>
  </si>
  <si>
    <t>MS BCĐKT 130</t>
  </si>
  <si>
    <t>MS BCĐKT 140</t>
  </si>
  <si>
    <t>MS BCĐKT 150</t>
  </si>
  <si>
    <t>MS BCĐKT 200</t>
  </si>
  <si>
    <t>MS BCĐKT 210</t>
  </si>
  <si>
    <t>MS BCĐKT 220</t>
  </si>
  <si>
    <t>MS BCĐKT 221</t>
  </si>
  <si>
    <t>MS BCĐKT 224</t>
  </si>
  <si>
    <t>MS BCĐKT 227</t>
  </si>
  <si>
    <t>MS BCĐKT 230</t>
  </si>
  <si>
    <t>MS BCĐKT 240</t>
  </si>
  <si>
    <t>MS BCĐKT 250</t>
  </si>
  <si>
    <t>MS BCĐKT 260</t>
  </si>
  <si>
    <t>MS BCĐKT 440</t>
  </si>
  <si>
    <t>MS BCĐKT 300</t>
  </si>
  <si>
    <t>MS BCĐKT 310</t>
  </si>
  <si>
    <t>MS BCĐKT 323</t>
  </si>
  <si>
    <t>MS BCĐKT 330</t>
  </si>
  <si>
    <t>MS BCĐKT 336</t>
  </si>
  <si>
    <t>MS BCĐKT 400</t>
  </si>
  <si>
    <t>MS BCĐKT 410</t>
  </si>
  <si>
    <t>MS BCĐKT 411</t>
  </si>
  <si>
    <t>MS BCĐKT 417</t>
  </si>
  <si>
    <t>MS BCĐKT 418</t>
  </si>
  <si>
    <t>MS BCĐKT 419</t>
  </si>
  <si>
    <t>MS BCĐKT 421</t>
  </si>
  <si>
    <t>MS BCĐKT 430</t>
  </si>
  <si>
    <t>TỔNG CỘNG</t>
  </si>
  <si>
    <t>A. KHỐI TỔNG CÔNG TY</t>
  </si>
  <si>
    <t>TỔNG CÔNG TY XÂY DỰNG SÀI GÒN-TNHH MTV</t>
  </si>
  <si>
    <t>MS BCĐKT 111</t>
  </si>
  <si>
    <t>MS BCĐKT 112</t>
  </si>
  <si>
    <t>MS BCĐKT 121</t>
  </si>
  <si>
    <t>MS BCĐKT 129</t>
  </si>
  <si>
    <t>MS BCĐKT 131</t>
  </si>
  <si>
    <t>MS BCĐKT 132</t>
  </si>
  <si>
    <t>MS BCĐKT 133</t>
  </si>
  <si>
    <t>MS BCĐKT 134</t>
  </si>
  <si>
    <t>MS BCĐKT 135</t>
  </si>
  <si>
    <t>MS BCĐKT 139</t>
  </si>
  <si>
    <t>MS BCĐKT 141</t>
  </si>
  <si>
    <t>MS BCĐKT 149</t>
  </si>
  <si>
    <t>MS BCĐKT 151</t>
  </si>
  <si>
    <t>MS BCĐKT 152</t>
  </si>
  <si>
    <t>MS BCĐKT 154</t>
  </si>
  <si>
    <t>MS BCĐKT 158</t>
  </si>
  <si>
    <t>MS BCĐKT 211</t>
  </si>
  <si>
    <t>MS BCĐKT 212</t>
  </si>
  <si>
    <t>MS BCĐKT 213</t>
  </si>
  <si>
    <t>MS BCĐKT 218</t>
  </si>
  <si>
    <t>MS BCĐKT 219</t>
  </si>
  <si>
    <t>MS BCĐKT 222</t>
  </si>
  <si>
    <t>MS BCĐKT 223</t>
  </si>
  <si>
    <t>MS BCĐKT 225</t>
  </si>
  <si>
    <t>MS BCĐKT 226</t>
  </si>
  <si>
    <t>MS BCĐKT 228</t>
  </si>
  <si>
    <t>MS BCĐKT 229</t>
  </si>
  <si>
    <t>TÀI SẢN NGẮN HẠN</t>
  </si>
  <si>
    <t>Tiền</t>
  </si>
  <si>
    <t>Các khoản tương đương tiền</t>
  </si>
  <si>
    <t>Đầu tư ngắn hạn</t>
  </si>
  <si>
    <t>Dự phòng giảm giá đầu tư ngắn hạn</t>
  </si>
  <si>
    <t>Phải thu khách hàng</t>
  </si>
  <si>
    <t>Trả trước cho người bán</t>
  </si>
  <si>
    <t>Phải thu nội bộ ngắn hạn</t>
  </si>
  <si>
    <t>Phải thu theo tiến độ kế hoạch hợp đồng xây dựng</t>
  </si>
  <si>
    <t>Các khoản phải thu khác</t>
  </si>
  <si>
    <t>Dự phòng phải thu ngắn hạn khó đòi</t>
  </si>
  <si>
    <t>Dự phòng giảm giá hàng tồn kho</t>
  </si>
  <si>
    <t>Chi phí trả trước ngắn hạn</t>
  </si>
  <si>
    <t>Thuế GTGT được khấu trừ</t>
  </si>
  <si>
    <t>Thuế và các khoản khác phải thu Nhà nước</t>
  </si>
  <si>
    <t>TÀI SẢN DÀI HẠN</t>
  </si>
  <si>
    <t>Phải thu dài hạn của khách hàng</t>
  </si>
  <si>
    <t>Vốn kinh doanh ở đơn vị trực thuộc</t>
  </si>
  <si>
    <t>Phải thu dài hạn nội bộ</t>
  </si>
  <si>
    <t>Phải thu dài hạn khác</t>
  </si>
  <si>
    <t>Dự phòng phải thu dài hạn khó đòi</t>
  </si>
  <si>
    <t xml:space="preserve">Nguyên giá </t>
  </si>
  <si>
    <t xml:space="preserve">Giá trị hao mòn lũy kế </t>
  </si>
  <si>
    <t>MS BCĐKT 241</t>
  </si>
  <si>
    <t>MS BCĐKT 242</t>
  </si>
  <si>
    <t>MS BCĐKT 251</t>
  </si>
  <si>
    <t>MS BCĐKT 252</t>
  </si>
  <si>
    <t>MS BCĐKT 258</t>
  </si>
  <si>
    <t>MS BCĐKT 259</t>
  </si>
  <si>
    <t>Đầu tư vào công ty con</t>
  </si>
  <si>
    <t>Đầu tư vào công ty liên kết, liên doanh</t>
  </si>
  <si>
    <t>Đầu tư dài hạn khác</t>
  </si>
  <si>
    <t>MS BCĐKT 261</t>
  </si>
  <si>
    <t>MS BCĐKT 262</t>
  </si>
  <si>
    <t>MS BCĐKT 268</t>
  </si>
  <si>
    <t>MS BCĐKT 311</t>
  </si>
  <si>
    <t>MS BCĐKT 312</t>
  </si>
  <si>
    <t>MS BCĐKT 313</t>
  </si>
  <si>
    <t>MS BCĐKT 314</t>
  </si>
  <si>
    <t>MS BCĐKT 315</t>
  </si>
  <si>
    <t>MS BCĐKT 316</t>
  </si>
  <si>
    <t>MS BCĐKT 317</t>
  </si>
  <si>
    <t>MS BCĐKT 318</t>
  </si>
  <si>
    <t>MS BCĐKT 319</t>
  </si>
  <si>
    <t>MS BCĐKT 320</t>
  </si>
  <si>
    <t>MS BCĐKT 331</t>
  </si>
  <si>
    <t>MS BCĐKT 332</t>
  </si>
  <si>
    <t>MS BCĐKT 333</t>
  </si>
  <si>
    <t>MS BCĐKT 334</t>
  </si>
  <si>
    <t>MS BCĐKT 335</t>
  </si>
  <si>
    <t>MS BCĐKT 337</t>
  </si>
  <si>
    <t>Chi phí trả trước dài hạn</t>
  </si>
  <si>
    <t>Tài sản thuế thu nhập hoãn lại</t>
  </si>
  <si>
    <t>Vay và nợ ngắn hạn</t>
  </si>
  <si>
    <t>Phải trả người bán</t>
  </si>
  <si>
    <t>Người mua trả tiền trước</t>
  </si>
  <si>
    <t>Thuế và các khoản phải nộp Nhà nuốc</t>
  </si>
  <si>
    <t>Phải trả người lao động</t>
  </si>
  <si>
    <t>Chi phí phải trả</t>
  </si>
  <si>
    <t>Phải trả nội bộ</t>
  </si>
  <si>
    <t>Phải trả theo tiến độ kế hoạch hợp đồng xây dựng</t>
  </si>
  <si>
    <t>Các khoản phải trả, phải nộp ngắn hạn khác</t>
  </si>
  <si>
    <t>Dự phòng phải trả ngắn hạn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</si>
  <si>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</si>
  <si>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</si>
  <si>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</si>
  <si>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</si>
  <si>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phãi trả</t>
  </si>
  <si>
    <t>Dự phòng trợ cấp mất việc làm</t>
  </si>
  <si>
    <t>Dự phòng phải trả dài hạn</t>
  </si>
  <si>
    <t>MS BCĐKT 412</t>
  </si>
  <si>
    <t>MS BCĐKT 413</t>
  </si>
  <si>
    <t>MS BCĐKT 414</t>
  </si>
  <si>
    <t>MS BCĐKT 415</t>
  </si>
  <si>
    <t>MS BCĐKT 416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</si>
  <si>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</si>
  <si>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</si>
  <si>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</si>
  <si>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</si>
  <si>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</si>
  <si>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 xml:space="preserve">Lợi nhuận sau thuế chưa phân phối </t>
  </si>
  <si>
    <t>MS BCĐKT 420</t>
  </si>
  <si>
    <t>Quỹ khen thưởng, phúc lợi</t>
  </si>
  <si>
    <t>Nguồn kinh phí</t>
  </si>
  <si>
    <t>Nguồn kinh phí đã hình thành TSCĐ</t>
  </si>
  <si>
    <t>MS BCĐKT 431</t>
  </si>
  <si>
    <t>MS BCĐKT 432</t>
  </si>
  <si>
    <t>MS BCĐKT 433</t>
  </si>
  <si>
    <t>CÁC CHỈ TIÊU NGOÀI BẢNG CÂN ĐỐI KẾ TOÁN</t>
  </si>
  <si>
    <t>Tài sản thuê ngoài</t>
  </si>
  <si>
    <t>Vật tư, hàng hóa nhận giữ hộ, nhận gia công</t>
  </si>
  <si>
    <t>Hàng hóa nhận bán hộ, nhận ký gửi, ký cược</t>
  </si>
  <si>
    <t xml:space="preserve">Nợ khó đò đã xử lý </t>
  </si>
  <si>
    <t>Dự toán chi sự nghiệp, dự án</t>
  </si>
  <si>
    <t>TỔNG CÔNG TY ĐỊA ỐC SÀI GÒN-TNHH MTV</t>
  </si>
  <si>
    <t>TỔNG CÔNG TY CƠ KHÍ GTVT SG-TNHH MTV</t>
  </si>
  <si>
    <t>TỔNG CÔNG TY CẤP NƯỚC SG-TNHH MTV</t>
  </si>
  <si>
    <t>TÔNG CÔNG TY CÔNG NGHIỆP SÀI GÒN-TNHH MTV</t>
  </si>
  <si>
    <t>TỔNG CÔNG TY LIKSIN-TNHH MTV</t>
  </si>
  <si>
    <t xml:space="preserve">TỔNG CÔNG TY NÔNG NGHIỆP SÀI GÒN-TNHH MTV </t>
  </si>
  <si>
    <t>TỔNG CÔNG TY VĂN HÓA SÀI GÒN-TNHH MTV</t>
  </si>
  <si>
    <t>TỔNG CÔNG TY THƯƠNG MẠI SÀI GÒN-TNHH MTV</t>
  </si>
  <si>
    <t>TỔNG CÔNG TY DU LỊCH SÀI GÒN-TNHH MTV</t>
  </si>
  <si>
    <t>TỔNG CÔNG TY BẾN THÀNH - TNHH MTV</t>
  </si>
  <si>
    <t>CÔNG TY TNHH MTV DỆT MAY GIA ĐỊNH</t>
  </si>
  <si>
    <t xml:space="preserve">CÔNG TY TNHH  MTV XNK VÀ ĐẦU TƯ CHỢ LỚN </t>
  </si>
  <si>
    <t>CÔNG TY TNHH MTV DƯỢC SÀI GÒN</t>
  </si>
  <si>
    <t>CÔNG TY ĐẦU TƯ TÀI CHÍNH NHÀ NƯỚC TP.HCM</t>
  </si>
  <si>
    <t>Công ty TNHH MTV Môi trường đô thị</t>
  </si>
  <si>
    <t xml:space="preserve">Quỹ phát triển nhà ở TP </t>
  </si>
  <si>
    <t>Quỹ bảo lãnh tín dụng DN nhỏ và vừa</t>
  </si>
  <si>
    <t xml:space="preserve">Công ty  TNHH MTV Dịch vụ Công ích TNXP </t>
  </si>
  <si>
    <t>Công ty TNHH MTV 27-7</t>
  </si>
  <si>
    <t>Công ty TNHH MTV DV XK lao động và chuyên gia</t>
  </si>
  <si>
    <t>Công ty TNHH MTV QL KT DV Thủy lợi</t>
  </si>
  <si>
    <t>Công ty CBTPXK Hùng Vương</t>
  </si>
  <si>
    <t>Công ty TNHH MTV PT CV phần mềm Quang Trung</t>
  </si>
  <si>
    <t xml:space="preserve">Công ty TNHH MTV Phát triển Khu công nghệ cao </t>
  </si>
  <si>
    <t>Cty TNHH MTV Dịch vụ cơ quan nuớc ngoài</t>
  </si>
  <si>
    <t>Cty TNHH MTV DV công ích Quận 2</t>
  </si>
  <si>
    <t>Cty TNHH MTV DV công ích Quận 4</t>
  </si>
  <si>
    <t>Công ty TNHH MTV DV công ích Quận 5</t>
  </si>
  <si>
    <t>Cty TNHH MTV DV công ích Phú Nhuận</t>
  </si>
  <si>
    <t>Công ty TNHH MTV Thảo cầm viên Sài Gòn</t>
  </si>
  <si>
    <t>Công ty TNHH MTV Công viên cây xanh</t>
  </si>
  <si>
    <t xml:space="preserve">Cty TNHH MTV Thóat nước Đô thị </t>
  </si>
  <si>
    <t>Cty TNHH MTV DV công ích Quận 1</t>
  </si>
  <si>
    <t>Cty TNHH MTV DV công ích Quận 3</t>
  </si>
  <si>
    <t>Cty  TNHH MTV DV công ích Quận 6</t>
  </si>
  <si>
    <t>Cty TNHH MTV DV công ích Quận 7</t>
  </si>
  <si>
    <t>Cty TNHH MTV DV công ích Quận 8</t>
  </si>
  <si>
    <t>Cty TNHH MTV DV công ích Quận 10</t>
  </si>
  <si>
    <t>Cty TNHH MTV DV công ích Nhà Bè</t>
  </si>
  <si>
    <t>Công ty TNHH MTV DV công ích Gò Vấp</t>
  </si>
  <si>
    <t xml:space="preserve"> Cty TNHH MTV DV Công ích Bình Chánh</t>
  </si>
  <si>
    <t>Cty TNHH MTV DV công ích Hóc Môn</t>
  </si>
  <si>
    <t>Cty TNHH MTV DV công ích Tân Bình</t>
  </si>
  <si>
    <t xml:space="preserve"> Cty TNHH MTV DV Công ích Quận 11</t>
  </si>
  <si>
    <t xml:space="preserve"> Cty TNHH MTV DV Công ích Quận 12</t>
  </si>
  <si>
    <t xml:space="preserve"> Cty TNHH MTV DV công ích Thủ Đức</t>
  </si>
  <si>
    <t xml:space="preserve">Cty TNHH MTV DV công ích  Bình Thạnh </t>
  </si>
  <si>
    <t xml:space="preserve"> Cty TNHH MTV DV công ích Quận 9</t>
  </si>
  <si>
    <t xml:space="preserve">Cty TNHH MTV DV công ích Cần Giờ </t>
  </si>
  <si>
    <t>Cty TNHH MTV DV công ích Củ Chi</t>
  </si>
  <si>
    <t>Doanh thu chưa thực hiện</t>
  </si>
  <si>
    <t>MS BCĐKT 338</t>
  </si>
  <si>
    <t>MS BCĐKT 339</t>
  </si>
  <si>
    <t>Quỹ phát triển khoa học công nghệ</t>
  </si>
  <si>
    <t>MS BCĐKT 422</t>
  </si>
  <si>
    <t>Quỹ hỗ trợ sắp xếp doanh nghiệp</t>
  </si>
  <si>
    <t>ĐVT: triệu đồng</t>
  </si>
  <si>
    <t>B. DOANH NGHIỆP ĐỘC LẬP</t>
  </si>
  <si>
    <t>Số cuối năm</t>
  </si>
  <si>
    <t>Số đầu năm</t>
  </si>
  <si>
    <t>CÔNG TY TNHH MTV PHÁT TRIỂN CN TÂN THUẬN</t>
  </si>
  <si>
    <t>Dự phòng giảm giá đầu tư tài chính dài hạn</t>
  </si>
  <si>
    <t xml:space="preserve">CÔNG TY TNHH MTV VÀNG BẠC ĐÁ QUÝ SÀI GÒN </t>
  </si>
  <si>
    <t>Ngoại tệ các loại (USD)</t>
  </si>
  <si>
    <t>121,326.79 ; 525.11 EUR</t>
  </si>
  <si>
    <t>259,112.73; 553,87 EUR</t>
  </si>
  <si>
    <t>Biểu 02</t>
  </si>
  <si>
    <t xml:space="preserve">BÁO CÁO TỔNG HỢP TÌNH HÌNH TÀI CHÍNH NĂM 2013 CỦA CÁC DOANH NGHIỆP 100% VỐN NHÀ NƯỚC THUỘC UBND THÀNH PHỐ                                                            </t>
  </si>
  <si>
    <t xml:space="preserve">                       SỞ TÀI CHÍNH
            THÀNH PHỐ HỒ CHÍ MINH                                                  CHI CỤC TÀI CHÍNH DOANH NGHIỆP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</si>
</sst>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.0"/>
    <numFmt numFmtId="177" formatCode="[$-409]dddd\,\ mmmm\ dd\,\ yyyy"/>
  </numFmts>
  <fonts count="3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ahoma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>
        <color indexed="22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3" borderId="7" xfId="55" applyFont="1" applyAlignment="1">
      <alignment/>
    </xf>
    <xf numFmtId="0" fontId="1" fillId="23" borderId="10" xfId="55" applyFont="1" applyBorder="1" applyAlignment="1">
      <alignment/>
    </xf>
    <xf numFmtId="0" fontId="0" fillId="0" borderId="0" xfId="0" applyAlignment="1">
      <alignment horizontal="center"/>
    </xf>
    <xf numFmtId="173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3" fontId="0" fillId="6" borderId="0" xfId="0" applyNumberFormat="1" applyFill="1" applyAlignment="1">
      <alignment/>
    </xf>
    <xf numFmtId="0" fontId="0" fillId="6" borderId="0" xfId="0" applyFill="1" applyAlignment="1">
      <alignment/>
    </xf>
    <xf numFmtId="173" fontId="1" fillId="23" borderId="0" xfId="0" applyNumberFormat="1" applyFont="1" applyFill="1" applyAlignment="1">
      <alignment/>
    </xf>
    <xf numFmtId="173" fontId="12" fillId="23" borderId="0" xfId="0" applyNumberFormat="1" applyFont="1" applyFill="1" applyAlignment="1">
      <alignment/>
    </xf>
    <xf numFmtId="0" fontId="0" fillId="24" borderId="0" xfId="0" applyFill="1" applyAlignment="1">
      <alignment/>
    </xf>
    <xf numFmtId="173" fontId="0" fillId="24" borderId="0" xfId="42" applyNumberFormat="1" applyFont="1" applyFill="1" applyAlignment="1">
      <alignment/>
    </xf>
    <xf numFmtId="173" fontId="13" fillId="23" borderId="0" xfId="0" applyNumberFormat="1" applyFont="1" applyFill="1" applyAlignment="1">
      <alignment/>
    </xf>
    <xf numFmtId="173" fontId="13" fillId="23" borderId="0" xfId="0" applyNumberFormat="1" applyFont="1" applyFill="1" applyAlignment="1">
      <alignment/>
    </xf>
    <xf numFmtId="3" fontId="0" fillId="8" borderId="0" xfId="0" applyNumberFormat="1" applyFill="1" applyAlignment="1">
      <alignment/>
    </xf>
    <xf numFmtId="0" fontId="0" fillId="8" borderId="0" xfId="0" applyFill="1" applyAlignment="1">
      <alignment/>
    </xf>
    <xf numFmtId="3" fontId="10" fillId="25" borderId="0" xfId="0" applyNumberFormat="1" applyFont="1" applyFill="1" applyBorder="1" applyAlignment="1">
      <alignment vertical="center"/>
    </xf>
    <xf numFmtId="3" fontId="3" fillId="25" borderId="11" xfId="0" applyNumberFormat="1" applyFont="1" applyFill="1" applyBorder="1" applyAlignment="1">
      <alignment horizontal="center" vertical="center" wrapText="1"/>
    </xf>
    <xf numFmtId="3" fontId="4" fillId="25" borderId="12" xfId="0" applyNumberFormat="1" applyFont="1" applyFill="1" applyBorder="1" applyAlignment="1">
      <alignment horizontal="center" vertical="center"/>
    </xf>
    <xf numFmtId="3" fontId="4" fillId="25" borderId="12" xfId="0" applyNumberFormat="1" applyFont="1" applyFill="1" applyBorder="1" applyAlignment="1">
      <alignment vertical="center"/>
    </xf>
    <xf numFmtId="173" fontId="4" fillId="25" borderId="12" xfId="42" applyNumberFormat="1" applyFont="1" applyFill="1" applyBorder="1" applyAlignment="1">
      <alignment horizontal="center" vertical="center"/>
    </xf>
    <xf numFmtId="173" fontId="4" fillId="25" borderId="12" xfId="42" applyNumberFormat="1" applyFont="1" applyFill="1" applyBorder="1" applyAlignment="1">
      <alignment vertical="center"/>
    </xf>
    <xf numFmtId="173" fontId="4" fillId="25" borderId="12" xfId="0" applyNumberFormat="1" applyFont="1" applyFill="1" applyBorder="1" applyAlignment="1">
      <alignment horizontal="center" vertical="center"/>
    </xf>
    <xf numFmtId="173" fontId="4" fillId="25" borderId="12" xfId="0" applyNumberFormat="1" applyFont="1" applyFill="1" applyBorder="1" applyAlignment="1">
      <alignment vertical="center"/>
    </xf>
    <xf numFmtId="3" fontId="4" fillId="25" borderId="13" xfId="0" applyNumberFormat="1" applyFont="1" applyFill="1" applyBorder="1" applyAlignment="1">
      <alignment horizontal="center" vertical="center"/>
    </xf>
    <xf numFmtId="3" fontId="4" fillId="25" borderId="13" xfId="0" applyNumberFormat="1" applyFont="1" applyFill="1" applyBorder="1" applyAlignment="1">
      <alignment vertical="center"/>
    </xf>
    <xf numFmtId="0" fontId="13" fillId="25" borderId="0" xfId="0" applyFont="1" applyFill="1" applyAlignment="1">
      <alignment/>
    </xf>
    <xf numFmtId="0" fontId="13" fillId="25" borderId="7" xfId="55" applyFont="1" applyFill="1" applyAlignment="1">
      <alignment/>
    </xf>
    <xf numFmtId="0" fontId="13" fillId="25" borderId="0" xfId="0" applyFont="1" applyFill="1" applyAlignment="1">
      <alignment horizontal="center"/>
    </xf>
    <xf numFmtId="0" fontId="13" fillId="25" borderId="14" xfId="55" applyFont="1" applyFill="1" applyBorder="1" applyAlignment="1">
      <alignment/>
    </xf>
    <xf numFmtId="173" fontId="13" fillId="25" borderId="7" xfId="55" applyNumberFormat="1" applyFont="1" applyFill="1" applyBorder="1" applyAlignment="1">
      <alignment/>
    </xf>
    <xf numFmtId="173" fontId="6" fillId="25" borderId="12" xfId="42" applyNumberFormat="1" applyFont="1" applyFill="1" applyBorder="1" applyAlignment="1">
      <alignment horizontal="center" vertical="center"/>
    </xf>
    <xf numFmtId="173" fontId="13" fillId="25" borderId="7" xfId="55" applyNumberFormat="1" applyFont="1" applyFill="1" applyBorder="1" applyAlignment="1">
      <alignment horizontal="center" vertical="center"/>
    </xf>
    <xf numFmtId="173" fontId="1" fillId="23" borderId="7" xfId="55" applyNumberFormat="1" applyFont="1" applyFill="1" applyBorder="1" applyAlignment="1">
      <alignment horizontal="center" vertical="center"/>
    </xf>
    <xf numFmtId="173" fontId="0" fillId="23" borderId="0" xfId="0" applyNumberFormat="1" applyFill="1" applyAlignment="1">
      <alignment horizontal="center" vertical="center"/>
    </xf>
    <xf numFmtId="173" fontId="3" fillId="25" borderId="12" xfId="0" applyNumberFormat="1" applyFont="1" applyFill="1" applyBorder="1" applyAlignment="1">
      <alignment horizontal="right" vertical="center"/>
    </xf>
    <xf numFmtId="173" fontId="3" fillId="25" borderId="12" xfId="42" applyNumberFormat="1" applyFont="1" applyFill="1" applyBorder="1" applyAlignment="1">
      <alignment horizontal="right" vertical="center"/>
    </xf>
    <xf numFmtId="43" fontId="3" fillId="25" borderId="12" xfId="0" applyNumberFormat="1" applyFont="1" applyFill="1" applyBorder="1" applyAlignment="1">
      <alignment horizontal="right" vertical="center"/>
    </xf>
    <xf numFmtId="173" fontId="3" fillId="25" borderId="12" xfId="0" applyNumberFormat="1" applyFont="1" applyFill="1" applyBorder="1" applyAlignment="1">
      <alignment horizontal="right" vertical="center" wrapText="1"/>
    </xf>
    <xf numFmtId="3" fontId="3" fillId="25" borderId="12" xfId="0" applyNumberFormat="1" applyFont="1" applyFill="1" applyBorder="1" applyAlignment="1">
      <alignment horizontal="right" vertical="center"/>
    </xf>
    <xf numFmtId="3" fontId="3" fillId="25" borderId="15" xfId="54" applyNumberFormat="1" applyFont="1" applyFill="1" applyBorder="1" applyAlignment="1">
      <alignment horizontal="right" vertical="center"/>
    </xf>
    <xf numFmtId="173" fontId="16" fillId="25" borderId="12" xfId="42" applyNumberFormat="1" applyFont="1" applyFill="1" applyBorder="1" applyAlignment="1">
      <alignment horizontal="right" vertical="center"/>
    </xf>
    <xf numFmtId="173" fontId="16" fillId="25" borderId="0" xfId="42" applyNumberFormat="1" applyFont="1" applyFill="1" applyAlignment="1">
      <alignment horizontal="right" vertical="center"/>
    </xf>
    <xf numFmtId="0" fontId="3" fillId="25" borderId="12" xfId="0" applyFont="1" applyFill="1" applyBorder="1" applyAlignment="1">
      <alignment horizontal="right" vertical="center"/>
    </xf>
    <xf numFmtId="4" fontId="3" fillId="25" borderId="12" xfId="0" applyNumberFormat="1" applyFont="1" applyFill="1" applyBorder="1" applyAlignment="1">
      <alignment horizontal="right" vertical="center"/>
    </xf>
    <xf numFmtId="3" fontId="3" fillId="25" borderId="12" xfId="42" applyNumberFormat="1" applyFont="1" applyFill="1" applyBorder="1" applyAlignment="1">
      <alignment horizontal="right" vertical="center"/>
    </xf>
    <xf numFmtId="3" fontId="3" fillId="25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25" borderId="16" xfId="54" applyNumberFormat="1" applyFont="1" applyFill="1" applyBorder="1" applyAlignment="1">
      <alignment/>
    </xf>
    <xf numFmtId="0" fontId="17" fillId="0" borderId="0" xfId="0" applyFont="1" applyAlignment="1">
      <alignment/>
    </xf>
    <xf numFmtId="173" fontId="18" fillId="25" borderId="17" xfId="42" applyNumberFormat="1" applyFont="1" applyFill="1" applyBorder="1" applyAlignment="1">
      <alignment horizontal="center" vertical="center"/>
    </xf>
    <xf numFmtId="173" fontId="33" fillId="0" borderId="0" xfId="42" applyNumberFormat="1" applyFont="1" applyAlignment="1">
      <alignment/>
    </xf>
    <xf numFmtId="3" fontId="8" fillId="25" borderId="0" xfId="0" applyNumberFormat="1" applyFont="1" applyFill="1" applyBorder="1" applyAlignment="1">
      <alignment vertical="center"/>
    </xf>
    <xf numFmtId="173" fontId="3" fillId="25" borderId="17" xfId="42" applyNumberFormat="1" applyFont="1" applyFill="1" applyBorder="1" applyAlignment="1">
      <alignment horizontal="right"/>
    </xf>
    <xf numFmtId="173" fontId="3" fillId="25" borderId="15" xfId="42" applyNumberFormat="1" applyFont="1" applyFill="1" applyBorder="1" applyAlignment="1">
      <alignment horizontal="right"/>
    </xf>
    <xf numFmtId="173" fontId="3" fillId="25" borderId="12" xfId="42" applyNumberFormat="1" applyFont="1" applyFill="1" applyBorder="1" applyAlignment="1">
      <alignment horizontal="right"/>
    </xf>
    <xf numFmtId="173" fontId="3" fillId="25" borderId="12" xfId="0" applyNumberFormat="1" applyFont="1" applyFill="1" applyBorder="1" applyAlignment="1">
      <alignment horizontal="right"/>
    </xf>
    <xf numFmtId="173" fontId="3" fillId="25" borderId="18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173" fontId="33" fillId="0" borderId="0" xfId="42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3" fontId="0" fillId="0" borderId="0" xfId="0" applyNumberFormat="1" applyFill="1" applyAlignment="1">
      <alignment horizontal="center" vertical="center"/>
    </xf>
    <xf numFmtId="173" fontId="0" fillId="0" borderId="0" xfId="42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173" fontId="3" fillId="25" borderId="19" xfId="42" applyNumberFormat="1" applyFont="1" applyFill="1" applyBorder="1" applyAlignment="1">
      <alignment horizontal="right"/>
    </xf>
    <xf numFmtId="173" fontId="3" fillId="25" borderId="20" xfId="42" applyNumberFormat="1" applyFont="1" applyFill="1" applyBorder="1" applyAlignment="1">
      <alignment horizontal="right"/>
    </xf>
    <xf numFmtId="173" fontId="3" fillId="25" borderId="21" xfId="42" applyNumberFormat="1" applyFont="1" applyFill="1" applyBorder="1" applyAlignment="1">
      <alignment horizontal="right"/>
    </xf>
    <xf numFmtId="173" fontId="3" fillId="25" borderId="21" xfId="0" applyNumberFormat="1" applyFont="1" applyFill="1" applyBorder="1" applyAlignment="1">
      <alignment horizontal="right" vertical="center"/>
    </xf>
    <xf numFmtId="3" fontId="3" fillId="25" borderId="16" xfId="54" applyNumberFormat="1" applyFont="1" applyFill="1" applyBorder="1" applyAlignment="1">
      <alignment horizontal="center" vertical="center"/>
    </xf>
    <xf numFmtId="173" fontId="3" fillId="25" borderId="16" xfId="42" applyNumberFormat="1" applyFont="1" applyFill="1" applyBorder="1" applyAlignment="1">
      <alignment/>
    </xf>
    <xf numFmtId="3" fontId="3" fillId="25" borderId="18" xfId="54" applyNumberFormat="1" applyFont="1" applyFill="1" applyBorder="1" applyAlignment="1">
      <alignment/>
    </xf>
    <xf numFmtId="173" fontId="3" fillId="25" borderId="18" xfId="0" applyNumberFormat="1" applyFont="1" applyFill="1" applyBorder="1" applyAlignment="1">
      <alignment/>
    </xf>
    <xf numFmtId="3" fontId="3" fillId="25" borderId="22" xfId="0" applyNumberFormat="1" applyFont="1" applyFill="1" applyBorder="1" applyAlignment="1">
      <alignment/>
    </xf>
    <xf numFmtId="3" fontId="3" fillId="25" borderId="22" xfId="54" applyNumberFormat="1" applyFont="1" applyFill="1" applyBorder="1" applyAlignment="1">
      <alignment/>
    </xf>
    <xf numFmtId="173" fontId="3" fillId="25" borderId="18" xfId="42" applyNumberFormat="1" applyFont="1" applyFill="1" applyBorder="1" applyAlignment="1">
      <alignment/>
    </xf>
    <xf numFmtId="3" fontId="3" fillId="25" borderId="18" xfId="0" applyNumberFormat="1" applyFont="1" applyFill="1" applyBorder="1" applyAlignment="1">
      <alignment/>
    </xf>
    <xf numFmtId="173" fontId="3" fillId="25" borderId="18" xfId="0" applyNumberFormat="1" applyFont="1" applyFill="1" applyBorder="1" applyAlignment="1">
      <alignment horizontal="right" vertical="center"/>
    </xf>
    <xf numFmtId="3" fontId="3" fillId="25" borderId="23" xfId="0" applyNumberFormat="1" applyFont="1" applyFill="1" applyBorder="1" applyAlignment="1">
      <alignment horizontal="center" vertical="center" wrapText="1"/>
    </xf>
    <xf numFmtId="3" fontId="3" fillId="25" borderId="16" xfId="0" applyNumberFormat="1" applyFont="1" applyFill="1" applyBorder="1" applyAlignment="1">
      <alignment horizontal="center" vertical="center"/>
    </xf>
    <xf numFmtId="173" fontId="3" fillId="25" borderId="12" xfId="42" applyNumberFormat="1" applyFont="1" applyFill="1" applyBorder="1" applyAlignment="1">
      <alignment horizontal="center" vertical="center"/>
    </xf>
    <xf numFmtId="3" fontId="10" fillId="25" borderId="24" xfId="0" applyNumberFormat="1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/>
    </xf>
    <xf numFmtId="3" fontId="3" fillId="25" borderId="0" xfId="0" applyNumberFormat="1" applyFont="1" applyFill="1" applyBorder="1" applyAlignment="1">
      <alignment horizontal="center" vertical="center" wrapText="1"/>
    </xf>
    <xf numFmtId="0" fontId="13" fillId="25" borderId="25" xfId="0" applyFont="1" applyFill="1" applyBorder="1" applyAlignment="1">
      <alignment/>
    </xf>
    <xf numFmtId="0" fontId="13" fillId="25" borderId="25" xfId="0" applyFont="1" applyFill="1" applyBorder="1" applyAlignment="1">
      <alignment/>
    </xf>
    <xf numFmtId="0" fontId="14" fillId="25" borderId="25" xfId="0" applyFont="1" applyFill="1" applyBorder="1" applyAlignment="1">
      <alignment/>
    </xf>
    <xf numFmtId="0" fontId="13" fillId="25" borderId="26" xfId="0" applyFont="1" applyFill="1" applyBorder="1" applyAlignment="1">
      <alignment/>
    </xf>
    <xf numFmtId="3" fontId="10" fillId="25" borderId="0" xfId="0" applyNumberFormat="1" applyFont="1" applyFill="1" applyBorder="1" applyAlignment="1">
      <alignment wrapText="1"/>
    </xf>
    <xf numFmtId="0" fontId="13" fillId="25" borderId="0" xfId="0" applyFont="1" applyFill="1" applyBorder="1" applyAlignment="1">
      <alignment/>
    </xf>
    <xf numFmtId="0" fontId="13" fillId="25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3" fillId="25" borderId="27" xfId="0" applyFont="1" applyFill="1" applyBorder="1" applyAlignment="1">
      <alignment/>
    </xf>
    <xf numFmtId="0" fontId="9" fillId="0" borderId="2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3" fillId="25" borderId="29" xfId="0" applyFont="1" applyFill="1" applyBorder="1" applyAlignment="1">
      <alignment/>
    </xf>
    <xf numFmtId="0" fontId="13" fillId="25" borderId="24" xfId="0" applyFont="1" applyFill="1" applyBorder="1" applyAlignment="1">
      <alignment/>
    </xf>
    <xf numFmtId="0" fontId="13" fillId="25" borderId="24" xfId="0" applyFont="1" applyFill="1" applyBorder="1" applyAlignment="1">
      <alignment/>
    </xf>
    <xf numFmtId="0" fontId="19" fillId="25" borderId="24" xfId="0" applyFont="1" applyFill="1" applyBorder="1" applyAlignment="1">
      <alignment/>
    </xf>
    <xf numFmtId="0" fontId="15" fillId="25" borderId="24" xfId="0" applyFont="1" applyFill="1" applyBorder="1" applyAlignment="1">
      <alignment/>
    </xf>
    <xf numFmtId="0" fontId="14" fillId="25" borderId="24" xfId="0" applyFont="1" applyFill="1" applyBorder="1" applyAlignment="1">
      <alignment/>
    </xf>
    <xf numFmtId="0" fontId="13" fillId="25" borderId="30" xfId="0" applyFont="1" applyFill="1" applyBorder="1" applyAlignment="1">
      <alignment/>
    </xf>
    <xf numFmtId="3" fontId="3" fillId="25" borderId="0" xfId="0" applyNumberFormat="1" applyFont="1" applyFill="1" applyBorder="1" applyAlignment="1">
      <alignment vertical="center"/>
    </xf>
    <xf numFmtId="173" fontId="4" fillId="25" borderId="12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distributed" wrapText="1"/>
    </xf>
    <xf numFmtId="3" fontId="4" fillId="25" borderId="0" xfId="0" applyNumberFormat="1" applyFont="1" applyFill="1" applyBorder="1" applyAlignment="1">
      <alignment vertical="center" wrapText="1"/>
    </xf>
    <xf numFmtId="3" fontId="4" fillId="25" borderId="23" xfId="0" applyNumberFormat="1" applyFont="1" applyFill="1" applyBorder="1" applyAlignment="1">
      <alignment horizontal="center" vertical="center" wrapText="1"/>
    </xf>
    <xf numFmtId="3" fontId="5" fillId="25" borderId="23" xfId="0" applyNumberFormat="1" applyFont="1" applyFill="1" applyBorder="1" applyAlignment="1">
      <alignment horizontal="center" vertical="center" wrapText="1"/>
    </xf>
    <xf numFmtId="3" fontId="4" fillId="25" borderId="31" xfId="0" applyNumberFormat="1" applyFont="1" applyFill="1" applyBorder="1" applyAlignment="1">
      <alignment horizontal="center" vertical="center" wrapText="1"/>
    </xf>
    <xf numFmtId="3" fontId="4" fillId="25" borderId="32" xfId="0" applyNumberFormat="1" applyFont="1" applyFill="1" applyBorder="1" applyAlignment="1">
      <alignment horizontal="center" vertical="center" wrapText="1"/>
    </xf>
    <xf numFmtId="3" fontId="4" fillId="25" borderId="33" xfId="0" applyNumberFormat="1" applyFont="1" applyFill="1" applyBorder="1" applyAlignment="1">
      <alignment horizontal="center" vertical="center" wrapText="1"/>
    </xf>
    <xf numFmtId="3" fontId="4" fillId="25" borderId="25" xfId="0" applyNumberFormat="1" applyFont="1" applyFill="1" applyBorder="1" applyAlignment="1">
      <alignment horizontal="center" vertical="center" wrapText="1"/>
    </xf>
    <xf numFmtId="3" fontId="4" fillId="25" borderId="29" xfId="0" applyNumberFormat="1" applyFont="1" applyFill="1" applyBorder="1" applyAlignment="1">
      <alignment horizontal="center" vertical="center" wrapText="1"/>
    </xf>
    <xf numFmtId="3" fontId="4" fillId="25" borderId="24" xfId="0" applyNumberFormat="1" applyFont="1" applyFill="1" applyBorder="1" applyAlignment="1">
      <alignment horizontal="center" vertical="center" wrapText="1"/>
    </xf>
    <xf numFmtId="3" fontId="4" fillId="25" borderId="23" xfId="0" applyNumberFormat="1" applyFont="1" applyFill="1" applyBorder="1" applyAlignment="1">
      <alignment horizontal="center" vertical="center"/>
    </xf>
    <xf numFmtId="0" fontId="13" fillId="25" borderId="7" xfId="55" applyFont="1" applyFill="1" applyBorder="1" applyAlignment="1">
      <alignment horizontal="center" vertical="center" wrapText="1"/>
    </xf>
    <xf numFmtId="0" fontId="13" fillId="25" borderId="7" xfId="55" applyFont="1" applyFill="1" applyBorder="1" applyAlignment="1">
      <alignment horizontal="center" vertical="center"/>
    </xf>
    <xf numFmtId="0" fontId="13" fillId="25" borderId="25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3" fontId="4" fillId="25" borderId="11" xfId="0" applyNumberFormat="1" applyFont="1" applyFill="1" applyBorder="1" applyAlignment="1">
      <alignment horizontal="center" vertical="center" wrapText="1"/>
    </xf>
    <xf numFmtId="3" fontId="4" fillId="25" borderId="22" xfId="0" applyNumberFormat="1" applyFont="1" applyFill="1" applyBorder="1" applyAlignment="1">
      <alignment horizontal="center" vertical="center" wrapText="1"/>
    </xf>
    <xf numFmtId="3" fontId="4" fillId="25" borderId="34" xfId="0" applyNumberFormat="1" applyFont="1" applyFill="1" applyBorder="1" applyAlignment="1">
      <alignment horizontal="center" vertical="center" wrapText="1"/>
    </xf>
    <xf numFmtId="3" fontId="4" fillId="25" borderId="26" xfId="0" applyNumberFormat="1" applyFont="1" applyFill="1" applyBorder="1" applyAlignment="1">
      <alignment horizontal="center" vertical="center" wrapText="1"/>
    </xf>
    <xf numFmtId="3" fontId="4" fillId="25" borderId="30" xfId="0" applyNumberFormat="1" applyFont="1" applyFill="1" applyBorder="1" applyAlignment="1">
      <alignment horizontal="center" vertical="center" wrapText="1"/>
    </xf>
    <xf numFmtId="3" fontId="4" fillId="25" borderId="35" xfId="0" applyNumberFormat="1" applyFont="1" applyFill="1" applyBorder="1" applyAlignment="1">
      <alignment horizontal="center" vertical="center" wrapText="1"/>
    </xf>
    <xf numFmtId="3" fontId="5" fillId="25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1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B21" sqref="B21"/>
      <selection pane="bottomLeft" activeCell="A15" sqref="A15"/>
      <selection pane="bottomRight" activeCell="B69" sqref="B69"/>
    </sheetView>
  </sheetViews>
  <sheetFormatPr defaultColWidth="9.140625" defaultRowHeight="15"/>
  <cols>
    <col min="1" max="1" width="3.8515625" style="4" customWidth="1"/>
    <col min="2" max="2" width="44.28125" style="0" customWidth="1"/>
    <col min="3" max="3" width="11.8515625" style="48" customWidth="1"/>
    <col min="4" max="4" width="11.57421875" style="48" customWidth="1"/>
    <col min="5" max="5" width="11.140625" style="49" customWidth="1"/>
    <col min="6" max="6" width="10.7109375" style="49" customWidth="1"/>
    <col min="7" max="7" width="11.57421875" style="49" customWidth="1"/>
    <col min="8" max="8" width="12.421875" style="49" customWidth="1"/>
    <col min="9" max="9" width="11.7109375" style="0" customWidth="1"/>
    <col min="10" max="10" width="11.57421875" style="0" customWidth="1"/>
    <col min="11" max="11" width="12.140625" style="0" customWidth="1"/>
    <col min="12" max="12" width="11.421875" style="0" customWidth="1"/>
    <col min="13" max="13" width="10.7109375" style="48" customWidth="1"/>
    <col min="14" max="14" width="11.421875" style="48" customWidth="1"/>
    <col min="15" max="15" width="11.140625" style="0" customWidth="1"/>
    <col min="16" max="17" width="11.28125" style="0" customWidth="1"/>
    <col min="18" max="18" width="10.7109375" style="0" customWidth="1"/>
    <col min="19" max="19" width="9.140625" style="48" customWidth="1"/>
    <col min="20" max="20" width="8.8515625" style="48" customWidth="1"/>
    <col min="21" max="23" width="9.7109375" style="0" customWidth="1"/>
    <col min="24" max="24" width="8.8515625" style="0" customWidth="1"/>
    <col min="25" max="25" width="9.140625" style="0" customWidth="1"/>
    <col min="26" max="26" width="9.28125" style="0" customWidth="1"/>
    <col min="28" max="28" width="8.140625" style="0" customWidth="1"/>
    <col min="29" max="30" width="9.7109375" style="0" customWidth="1"/>
    <col min="31" max="32" width="8.57421875" style="0" customWidth="1"/>
    <col min="33" max="33" width="9.28125" style="48" customWidth="1"/>
    <col min="34" max="34" width="10.140625" style="48" customWidth="1"/>
    <col min="35" max="35" width="9.28125" style="0" customWidth="1"/>
    <col min="36" max="36" width="9.7109375" style="0" customWidth="1"/>
    <col min="37" max="38" width="8.8515625" style="0" customWidth="1"/>
    <col min="39" max="40" width="9.28125" style="48" customWidth="1"/>
    <col min="41" max="48" width="9.28125" style="0" customWidth="1"/>
    <col min="49" max="52" width="9.7109375" style="48" customWidth="1"/>
    <col min="53" max="53" width="9.57421875" style="0" customWidth="1"/>
    <col min="54" max="54" width="9.7109375" style="0" customWidth="1"/>
    <col min="55" max="55" width="8.421875" style="0" customWidth="1"/>
    <col min="56" max="56" width="7.8515625" style="0" customWidth="1"/>
    <col min="59" max="59" width="8.140625" style="0" customWidth="1"/>
    <col min="60" max="60" width="8.00390625" style="0" customWidth="1"/>
    <col min="61" max="61" width="8.8515625" style="0" customWidth="1"/>
    <col min="62" max="62" width="8.7109375" style="0" customWidth="1"/>
    <col min="63" max="63" width="10.00390625" style="48" customWidth="1"/>
    <col min="64" max="64" width="10.140625" style="48" customWidth="1"/>
    <col min="65" max="65" width="10.00390625" style="48" customWidth="1"/>
    <col min="66" max="66" width="9.8515625" style="48" customWidth="1"/>
    <col min="67" max="67" width="9.7109375" style="0" customWidth="1"/>
    <col min="68" max="68" width="10.140625" style="0" customWidth="1"/>
    <col min="69" max="69" width="9.8515625" style="0" customWidth="1"/>
    <col min="70" max="70" width="9.7109375" style="0" customWidth="1"/>
    <col min="71" max="71" width="6.421875" style="48" customWidth="1"/>
    <col min="72" max="72" width="5.8515625" style="48" customWidth="1"/>
    <col min="73" max="73" width="6.57421875" style="0" customWidth="1"/>
    <col min="74" max="74" width="5.7109375" style="0" customWidth="1"/>
    <col min="75" max="75" width="7.140625" style="0" customWidth="1"/>
    <col min="76" max="76" width="6.421875" style="0" customWidth="1"/>
    <col min="77" max="77" width="8.140625" style="48" customWidth="1"/>
    <col min="78" max="78" width="8.8515625" style="48" customWidth="1"/>
    <col min="79" max="79" width="8.8515625" style="0" customWidth="1"/>
    <col min="81" max="81" width="10.140625" style="0" customWidth="1"/>
    <col min="82" max="82" width="10.421875" style="0" customWidth="1"/>
    <col min="83" max="83" width="11.421875" style="0" customWidth="1"/>
    <col min="84" max="84" width="11.00390625" style="0" customWidth="1"/>
    <col min="85" max="85" width="7.8515625" style="1" customWidth="1"/>
    <col min="86" max="86" width="8.421875" style="1" customWidth="1"/>
    <col min="87" max="87" width="8.28125" style="0" customWidth="1"/>
    <col min="88" max="88" width="8.7109375" style="0" customWidth="1"/>
    <col min="89" max="89" width="8.57421875" style="0" customWidth="1"/>
    <col min="90" max="90" width="9.140625" style="0" customWidth="1"/>
    <col min="91" max="91" width="9.8515625" style="1" customWidth="1"/>
    <col min="92" max="92" width="9.7109375" style="1" customWidth="1"/>
    <col min="94" max="94" width="9.8515625" style="0" customWidth="1"/>
    <col min="96" max="96" width="9.28125" style="0" customWidth="1"/>
    <col min="98" max="98" width="8.8515625" style="0" customWidth="1"/>
    <col min="99" max="99" width="9.7109375" style="0" customWidth="1"/>
    <col min="100" max="100" width="9.421875" style="0" customWidth="1"/>
    <col min="101" max="101" width="10.8515625" style="1" customWidth="1"/>
    <col min="102" max="102" width="10.7109375" style="1" customWidth="1"/>
    <col min="103" max="103" width="11.28125" style="0" customWidth="1"/>
    <col min="104" max="104" width="12.28125" style="0" customWidth="1"/>
    <col min="105" max="105" width="10.00390625" style="0" customWidth="1"/>
    <col min="106" max="106" width="9.8515625" style="0" customWidth="1"/>
    <col min="107" max="108" width="10.57421875" style="0" customWidth="1"/>
    <col min="109" max="110" width="12.140625" style="48" customWidth="1"/>
    <col min="111" max="111" width="12.57421875" style="1" customWidth="1"/>
    <col min="112" max="112" width="11.421875" style="1" customWidth="1"/>
    <col min="113" max="113" width="11.8515625" style="1" customWidth="1"/>
    <col min="114" max="114" width="11.140625" style="1" customWidth="1"/>
    <col min="115" max="115" width="11.421875" style="0" customWidth="1"/>
    <col min="116" max="116" width="10.8515625" style="0" customWidth="1"/>
    <col min="117" max="117" width="10.421875" style="0" customWidth="1"/>
    <col min="122" max="122" width="8.421875" style="0" customWidth="1"/>
    <col min="123" max="125" width="9.7109375" style="0" customWidth="1"/>
    <col min="127" max="130" width="8.421875" style="0" customWidth="1"/>
    <col min="131" max="136" width="9.7109375" style="0" customWidth="1"/>
    <col min="137" max="137" width="10.28125" style="1" customWidth="1"/>
    <col min="138" max="138" width="10.57421875" style="1" customWidth="1"/>
    <col min="139" max="142" width="8.28125" style="0" customWidth="1"/>
    <col min="143" max="143" width="10.28125" style="0" customWidth="1"/>
    <col min="144" max="144" width="10.140625" style="0" customWidth="1"/>
    <col min="145" max="145" width="9.28125" style="0" customWidth="1"/>
    <col min="148" max="149" width="8.7109375" style="0" customWidth="1"/>
    <col min="150" max="150" width="9.57421875" style="0" customWidth="1"/>
    <col min="151" max="152" width="10.00390625" style="0" customWidth="1"/>
    <col min="153" max="153" width="9.28125" style="0" customWidth="1"/>
    <col min="154" max="154" width="9.57421875" style="0" customWidth="1"/>
    <col min="155" max="155" width="9.7109375" style="0" customWidth="1"/>
    <col min="156" max="156" width="8.57421875" style="0" customWidth="1"/>
    <col min="157" max="160" width="9.7109375" style="1" customWidth="1"/>
    <col min="161" max="162" width="9.7109375" style="0" customWidth="1"/>
    <col min="163" max="163" width="7.57421875" style="0" customWidth="1"/>
    <col min="164" max="164" width="7.8515625" style="0" customWidth="1"/>
    <col min="165" max="165" width="9.140625" style="0" customWidth="1"/>
    <col min="166" max="166" width="9.7109375" style="0" customWidth="1"/>
    <col min="167" max="167" width="8.57421875" style="0" customWidth="1"/>
    <col min="168" max="168" width="9.140625" style="0" customWidth="1"/>
    <col min="169" max="170" width="9.7109375" style="0" customWidth="1"/>
    <col min="171" max="171" width="9.28125" style="0" customWidth="1"/>
    <col min="172" max="172" width="9.7109375" style="0" customWidth="1"/>
    <col min="173" max="173" width="9.28125" style="0" customWidth="1"/>
    <col min="174" max="174" width="9.140625" style="0" customWidth="1"/>
    <col min="175" max="175" width="8.421875" style="0" customWidth="1"/>
    <col min="176" max="176" width="9.140625" style="0" customWidth="1"/>
    <col min="177" max="178" width="8.7109375" style="0" customWidth="1"/>
    <col min="179" max="179" width="10.00390625" style="0" customWidth="1"/>
    <col min="180" max="180" width="10.57421875" style="0" customWidth="1"/>
    <col min="181" max="181" width="8.421875" style="0" customWidth="1"/>
    <col min="182" max="182" width="9.57421875" style="0" customWidth="1"/>
    <col min="183" max="183" width="9.421875" style="0" customWidth="1"/>
    <col min="185" max="185" width="9.140625" style="1" customWidth="1"/>
    <col min="186" max="186" width="8.7109375" style="1" customWidth="1"/>
    <col min="187" max="187" width="7.421875" style="0" customWidth="1"/>
    <col min="188" max="188" width="6.57421875" style="0" customWidth="1"/>
    <col min="190" max="190" width="7.28125" style="0" customWidth="1"/>
    <col min="191" max="191" width="9.57421875" style="0" customWidth="1"/>
    <col min="192" max="192" width="8.8515625" style="0" customWidth="1"/>
    <col min="193" max="193" width="6.8515625" style="0" customWidth="1"/>
    <col min="194" max="194" width="7.140625" style="0" customWidth="1"/>
    <col min="195" max="195" width="7.7109375" style="0" customWidth="1"/>
    <col min="196" max="196" width="7.421875" style="0" customWidth="1"/>
    <col min="197" max="197" width="7.28125" style="0" customWidth="1"/>
    <col min="198" max="198" width="7.8515625" style="0" customWidth="1"/>
    <col min="199" max="199" width="6.57421875" style="0" customWidth="1"/>
    <col min="200" max="200" width="7.7109375" style="0" customWidth="1"/>
    <col min="201" max="201" width="10.28125" style="0" customWidth="1"/>
    <col min="202" max="202" width="9.7109375" style="0" customWidth="1"/>
    <col min="203" max="204" width="8.00390625" style="0" customWidth="1"/>
    <col min="205" max="209" width="9.140625" style="60" customWidth="1"/>
    <col min="210" max="211" width="16.28125" style="2" customWidth="1"/>
  </cols>
  <sheetData>
    <row r="1" spans="1:211" ht="38.25" customHeight="1">
      <c r="A1" s="87"/>
      <c r="B1" s="109" t="s">
        <v>256</v>
      </c>
      <c r="C1" s="131" t="s">
        <v>255</v>
      </c>
      <c r="D1" s="131"/>
      <c r="E1" s="131"/>
      <c r="F1" s="131"/>
      <c r="G1" s="131"/>
      <c r="H1" s="131"/>
      <c r="I1" s="131"/>
      <c r="J1" s="108" t="s">
        <v>254</v>
      </c>
      <c r="K1" s="92"/>
      <c r="L1" s="92"/>
      <c r="M1" s="106"/>
      <c r="N1" s="93"/>
      <c r="O1" s="94"/>
      <c r="P1" s="94"/>
      <c r="Q1" s="94"/>
      <c r="R1" s="94"/>
      <c r="S1" s="93"/>
      <c r="T1" s="93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8"/>
      <c r="AH1" s="88"/>
      <c r="AI1" s="89"/>
      <c r="AJ1" s="89"/>
      <c r="AK1" s="89"/>
      <c r="AL1" s="89"/>
      <c r="AM1" s="88"/>
      <c r="AN1" s="88"/>
      <c r="AO1" s="89"/>
      <c r="AP1" s="89"/>
      <c r="AQ1" s="89"/>
      <c r="AR1" s="89"/>
      <c r="AS1" s="89"/>
      <c r="AT1" s="89"/>
      <c r="AU1" s="89"/>
      <c r="AV1" s="89"/>
      <c r="AW1" s="88"/>
      <c r="AX1" s="88"/>
      <c r="AY1" s="88"/>
      <c r="AZ1" s="88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8"/>
      <c r="BL1" s="88"/>
      <c r="BM1" s="88"/>
      <c r="BN1" s="88"/>
      <c r="BO1" s="89"/>
      <c r="BP1" s="89"/>
      <c r="BQ1" s="89"/>
      <c r="BR1" s="89"/>
      <c r="BS1" s="88"/>
      <c r="BT1" s="88"/>
      <c r="BU1" s="89"/>
      <c r="BV1" s="89"/>
      <c r="BW1" s="89"/>
      <c r="BX1" s="89"/>
      <c r="BY1" s="88"/>
      <c r="BZ1" s="88"/>
      <c r="CA1" s="89"/>
      <c r="CB1" s="89"/>
      <c r="CC1" s="89"/>
      <c r="CD1" s="89"/>
      <c r="CE1" s="89"/>
      <c r="CF1" s="89"/>
      <c r="CG1" s="90"/>
      <c r="CH1" s="90"/>
      <c r="CI1" s="89"/>
      <c r="CJ1" s="89"/>
      <c r="CK1" s="89"/>
      <c r="CL1" s="89"/>
      <c r="CM1" s="90"/>
      <c r="CN1" s="90"/>
      <c r="CO1" s="89"/>
      <c r="CP1" s="89"/>
      <c r="CQ1" s="89"/>
      <c r="CR1" s="89"/>
      <c r="CS1" s="89"/>
      <c r="CT1" s="89"/>
      <c r="CU1" s="89"/>
      <c r="CV1" s="89"/>
      <c r="CW1" s="90"/>
      <c r="CX1" s="90"/>
      <c r="CY1" s="89"/>
      <c r="CZ1" s="89"/>
      <c r="DA1" s="89"/>
      <c r="DB1" s="89"/>
      <c r="DC1" s="89"/>
      <c r="DD1" s="89"/>
      <c r="DE1" s="88"/>
      <c r="DF1" s="88"/>
      <c r="DG1" s="90"/>
      <c r="DH1" s="90"/>
      <c r="DI1" s="90"/>
      <c r="DJ1" s="90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90"/>
      <c r="EH1" s="90"/>
      <c r="EI1" s="89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89"/>
      <c r="EV1" s="89"/>
      <c r="EW1" s="89"/>
      <c r="EX1" s="89"/>
      <c r="EY1" s="89"/>
      <c r="EZ1" s="89"/>
      <c r="FA1" s="90"/>
      <c r="FB1" s="90"/>
      <c r="FC1" s="90"/>
      <c r="FD1" s="90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90"/>
      <c r="GD1" s="90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91"/>
      <c r="HB1" s="28"/>
      <c r="HC1" s="28"/>
    </row>
    <row r="2" spans="1:211" ht="6" customHeight="1">
      <c r="A2" s="86"/>
      <c r="B2" s="85"/>
      <c r="C2" s="98"/>
      <c r="D2" s="98"/>
      <c r="E2" s="98"/>
      <c r="F2" s="98"/>
      <c r="G2" s="98"/>
      <c r="H2" s="98"/>
      <c r="I2" s="98"/>
      <c r="J2" s="98"/>
      <c r="K2" s="92"/>
      <c r="L2" s="92"/>
      <c r="M2" s="54"/>
      <c r="N2" s="93"/>
      <c r="O2" s="94"/>
      <c r="P2" s="94"/>
      <c r="Q2" s="94"/>
      <c r="R2" s="94"/>
      <c r="S2" s="93"/>
      <c r="T2" s="93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3"/>
      <c r="AH2" s="93"/>
      <c r="AI2" s="94"/>
      <c r="AJ2" s="94"/>
      <c r="AK2" s="94"/>
      <c r="AL2" s="94"/>
      <c r="AM2" s="93"/>
      <c r="AN2" s="93"/>
      <c r="AO2" s="94"/>
      <c r="AP2" s="94"/>
      <c r="AQ2" s="94"/>
      <c r="AR2" s="94"/>
      <c r="AS2" s="94"/>
      <c r="AT2" s="94"/>
      <c r="AU2" s="94"/>
      <c r="AV2" s="94"/>
      <c r="AW2" s="93"/>
      <c r="AX2" s="93"/>
      <c r="AY2" s="93"/>
      <c r="AZ2" s="93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3"/>
      <c r="BL2" s="93"/>
      <c r="BM2" s="93"/>
      <c r="BN2" s="93"/>
      <c r="BO2" s="94"/>
      <c r="BP2" s="94"/>
      <c r="BQ2" s="94"/>
      <c r="BR2" s="94"/>
      <c r="BS2" s="93"/>
      <c r="BT2" s="93"/>
      <c r="BU2" s="94"/>
      <c r="BV2" s="94"/>
      <c r="BW2" s="94"/>
      <c r="BX2" s="94"/>
      <c r="BY2" s="93"/>
      <c r="BZ2" s="93"/>
      <c r="CA2" s="94"/>
      <c r="CB2" s="94"/>
      <c r="CC2" s="94"/>
      <c r="CD2" s="94"/>
      <c r="CE2" s="94"/>
      <c r="CF2" s="94"/>
      <c r="CG2" s="95"/>
      <c r="CH2" s="95"/>
      <c r="CI2" s="94"/>
      <c r="CJ2" s="94"/>
      <c r="CK2" s="94"/>
      <c r="CL2" s="94"/>
      <c r="CM2" s="95"/>
      <c r="CN2" s="95"/>
      <c r="CO2" s="94"/>
      <c r="CP2" s="94"/>
      <c r="CQ2" s="94"/>
      <c r="CR2" s="94"/>
      <c r="CS2" s="94"/>
      <c r="CT2" s="94"/>
      <c r="CU2" s="94"/>
      <c r="CV2" s="94"/>
      <c r="CW2" s="95"/>
      <c r="CX2" s="95"/>
      <c r="CY2" s="94"/>
      <c r="CZ2" s="94"/>
      <c r="DA2" s="94"/>
      <c r="DB2" s="94"/>
      <c r="DC2" s="94"/>
      <c r="DD2" s="94"/>
      <c r="DE2" s="93"/>
      <c r="DF2" s="93"/>
      <c r="DG2" s="95"/>
      <c r="DH2" s="95"/>
      <c r="DI2" s="95"/>
      <c r="DJ2" s="95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5"/>
      <c r="EH2" s="95"/>
      <c r="EI2" s="94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94"/>
      <c r="EV2" s="94"/>
      <c r="EW2" s="94"/>
      <c r="EX2" s="94"/>
      <c r="EY2" s="94"/>
      <c r="EZ2" s="94"/>
      <c r="FA2" s="95"/>
      <c r="FB2" s="95"/>
      <c r="FC2" s="95"/>
      <c r="FD2" s="95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5"/>
      <c r="GD2" s="95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6"/>
      <c r="HB2" s="28"/>
      <c r="HC2" s="28"/>
    </row>
    <row r="3" spans="1:211" ht="1.5" customHeight="1" hidden="1">
      <c r="A3" s="29"/>
      <c r="C3" s="97"/>
      <c r="D3" s="98"/>
      <c r="E3" s="98"/>
      <c r="F3" s="98"/>
      <c r="G3" s="98"/>
      <c r="H3" s="98"/>
      <c r="I3" s="94"/>
      <c r="J3" s="94"/>
      <c r="K3" s="94"/>
      <c r="L3" s="94"/>
      <c r="M3" s="93"/>
      <c r="N3" s="93"/>
      <c r="O3" s="94"/>
      <c r="P3" s="94"/>
      <c r="Q3" s="94"/>
      <c r="R3" s="94"/>
      <c r="S3" s="93"/>
      <c r="T3" s="93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3"/>
      <c r="AH3" s="93"/>
      <c r="AI3" s="94"/>
      <c r="AJ3" s="94"/>
      <c r="AK3" s="94"/>
      <c r="AL3" s="94"/>
      <c r="AM3" s="93"/>
      <c r="AN3" s="93"/>
      <c r="AO3" s="94"/>
      <c r="AP3" s="94"/>
      <c r="AQ3" s="94"/>
      <c r="AR3" s="94"/>
      <c r="AS3" s="94"/>
      <c r="AT3" s="94"/>
      <c r="AU3" s="94"/>
      <c r="AV3" s="94"/>
      <c r="AW3" s="93"/>
      <c r="AX3" s="93"/>
      <c r="AY3" s="93"/>
      <c r="AZ3" s="93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3"/>
      <c r="BL3" s="93"/>
      <c r="BM3" s="93"/>
      <c r="BN3" s="93"/>
      <c r="BO3" s="94"/>
      <c r="BP3" s="94"/>
      <c r="BQ3" s="94"/>
      <c r="BR3" s="94"/>
      <c r="BS3" s="93"/>
      <c r="BT3" s="93"/>
      <c r="BU3" s="94"/>
      <c r="BV3" s="94"/>
      <c r="BW3" s="94"/>
      <c r="BX3" s="94"/>
      <c r="BY3" s="93"/>
      <c r="BZ3" s="93"/>
      <c r="CA3" s="94"/>
      <c r="CB3" s="94"/>
      <c r="CC3" s="94"/>
      <c r="CD3" s="94"/>
      <c r="CE3" s="94"/>
      <c r="CF3" s="94"/>
      <c r="CG3" s="95"/>
      <c r="CH3" s="95"/>
      <c r="CI3" s="94"/>
      <c r="CJ3" s="94"/>
      <c r="CK3" s="94"/>
      <c r="CL3" s="94"/>
      <c r="CM3" s="95"/>
      <c r="CN3" s="95"/>
      <c r="CO3" s="94"/>
      <c r="CP3" s="94"/>
      <c r="CQ3" s="94"/>
      <c r="CR3" s="94"/>
      <c r="CS3" s="94"/>
      <c r="CT3" s="94"/>
      <c r="CU3" s="94"/>
      <c r="CV3" s="94"/>
      <c r="CW3" s="95"/>
      <c r="CX3" s="95"/>
      <c r="CY3" s="94"/>
      <c r="CZ3" s="94"/>
      <c r="DA3" s="94"/>
      <c r="DB3" s="94"/>
      <c r="DC3" s="94"/>
      <c r="DD3" s="94"/>
      <c r="DE3" s="93"/>
      <c r="DF3" s="93"/>
      <c r="DG3" s="95"/>
      <c r="DH3" s="95"/>
      <c r="DI3" s="95"/>
      <c r="DJ3" s="95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5"/>
      <c r="EH3" s="95"/>
      <c r="EI3" s="94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94"/>
      <c r="EV3" s="94"/>
      <c r="EW3" s="94"/>
      <c r="EX3" s="94"/>
      <c r="EY3" s="94"/>
      <c r="EZ3" s="94"/>
      <c r="FA3" s="95"/>
      <c r="FB3" s="95"/>
      <c r="FC3" s="95"/>
      <c r="FD3" s="95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5"/>
      <c r="GD3" s="95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6"/>
      <c r="HB3" s="28"/>
      <c r="HC3" s="28"/>
    </row>
    <row r="4" spans="1:211" ht="5.25" customHeight="1" hidden="1">
      <c r="A4" s="29"/>
      <c r="B4" s="17"/>
      <c r="C4" s="97"/>
      <c r="D4" s="98"/>
      <c r="E4" s="98"/>
      <c r="F4" s="98"/>
      <c r="G4" s="98"/>
      <c r="H4" s="98"/>
      <c r="I4" s="94"/>
      <c r="J4" s="94"/>
      <c r="K4" s="94"/>
      <c r="L4" s="94"/>
      <c r="M4" s="93"/>
      <c r="N4" s="93"/>
      <c r="O4" s="94"/>
      <c r="P4" s="94"/>
      <c r="Q4" s="94"/>
      <c r="R4" s="94"/>
      <c r="S4" s="93"/>
      <c r="T4" s="93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3"/>
      <c r="AH4" s="93"/>
      <c r="AI4" s="94"/>
      <c r="AJ4" s="94"/>
      <c r="AK4" s="94"/>
      <c r="AL4" s="94"/>
      <c r="AM4" s="93"/>
      <c r="AN4" s="93"/>
      <c r="AO4" s="94"/>
      <c r="AP4" s="94"/>
      <c r="AQ4" s="94"/>
      <c r="AR4" s="94"/>
      <c r="AS4" s="94"/>
      <c r="AT4" s="94"/>
      <c r="AU4" s="94"/>
      <c r="AV4" s="94"/>
      <c r="AW4" s="93"/>
      <c r="AX4" s="93"/>
      <c r="AY4" s="93"/>
      <c r="AZ4" s="93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3"/>
      <c r="BL4" s="93"/>
      <c r="BM4" s="93"/>
      <c r="BN4" s="93"/>
      <c r="BO4" s="94"/>
      <c r="BP4" s="94"/>
      <c r="BQ4" s="94"/>
      <c r="BR4" s="94"/>
      <c r="BS4" s="93"/>
      <c r="BT4" s="93"/>
      <c r="BU4" s="94"/>
      <c r="BV4" s="94"/>
      <c r="BW4" s="94"/>
      <c r="BX4" s="94"/>
      <c r="BY4" s="93"/>
      <c r="BZ4" s="93"/>
      <c r="CA4" s="94"/>
      <c r="CB4" s="94"/>
      <c r="CC4" s="94"/>
      <c r="CD4" s="94"/>
      <c r="CE4" s="94"/>
      <c r="CF4" s="94"/>
      <c r="CG4" s="95"/>
      <c r="CH4" s="95"/>
      <c r="CI4" s="94"/>
      <c r="CJ4" s="94"/>
      <c r="CK4" s="94"/>
      <c r="CL4" s="94"/>
      <c r="CM4" s="95"/>
      <c r="CN4" s="95"/>
      <c r="CO4" s="94"/>
      <c r="CP4" s="94"/>
      <c r="CQ4" s="94"/>
      <c r="CR4" s="94"/>
      <c r="CS4" s="94"/>
      <c r="CT4" s="94"/>
      <c r="CU4" s="94"/>
      <c r="CV4" s="94"/>
      <c r="CW4" s="95"/>
      <c r="CX4" s="95"/>
      <c r="CY4" s="94"/>
      <c r="CZ4" s="94"/>
      <c r="DA4" s="94"/>
      <c r="DB4" s="94"/>
      <c r="DC4" s="94"/>
      <c r="DD4" s="94"/>
      <c r="DE4" s="93"/>
      <c r="DF4" s="93"/>
      <c r="DG4" s="95"/>
      <c r="DH4" s="95"/>
      <c r="DI4" s="95"/>
      <c r="DJ4" s="95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5"/>
      <c r="EH4" s="95"/>
      <c r="EI4" s="94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94"/>
      <c r="EV4" s="94"/>
      <c r="EW4" s="94"/>
      <c r="EX4" s="94"/>
      <c r="EY4" s="94"/>
      <c r="EZ4" s="94"/>
      <c r="FA4" s="95"/>
      <c r="FB4" s="95"/>
      <c r="FC4" s="95"/>
      <c r="FD4" s="95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5"/>
      <c r="GD4" s="95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6"/>
      <c r="HB4" s="28"/>
      <c r="HC4" s="28"/>
    </row>
    <row r="5" spans="1:211" ht="7.5" customHeight="1" hidden="1">
      <c r="A5" s="29"/>
      <c r="B5" s="27"/>
      <c r="C5" s="97"/>
      <c r="D5" s="98"/>
      <c r="E5" s="98"/>
      <c r="F5" s="98"/>
      <c r="G5" s="98"/>
      <c r="H5" s="98"/>
      <c r="I5" s="94"/>
      <c r="J5" s="94"/>
      <c r="K5" s="94"/>
      <c r="L5" s="94"/>
      <c r="M5" s="93"/>
      <c r="N5" s="93"/>
      <c r="O5" s="94"/>
      <c r="P5" s="94"/>
      <c r="Q5" s="94"/>
      <c r="R5" s="94"/>
      <c r="S5" s="93"/>
      <c r="T5" s="93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3"/>
      <c r="AH5" s="93"/>
      <c r="AI5" s="94"/>
      <c r="AJ5" s="94"/>
      <c r="AK5" s="94"/>
      <c r="AL5" s="94"/>
      <c r="AM5" s="93"/>
      <c r="AN5" s="93"/>
      <c r="AO5" s="94"/>
      <c r="AP5" s="94"/>
      <c r="AQ5" s="94"/>
      <c r="AR5" s="94"/>
      <c r="AS5" s="94"/>
      <c r="AT5" s="94"/>
      <c r="AU5" s="94"/>
      <c r="AV5" s="94"/>
      <c r="AW5" s="93"/>
      <c r="AX5" s="93"/>
      <c r="AY5" s="93"/>
      <c r="AZ5" s="93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3"/>
      <c r="BL5" s="93"/>
      <c r="BM5" s="93"/>
      <c r="BN5" s="93"/>
      <c r="BO5" s="94"/>
      <c r="BP5" s="94"/>
      <c r="BQ5" s="94"/>
      <c r="BR5" s="94"/>
      <c r="BS5" s="93"/>
      <c r="BT5" s="93"/>
      <c r="BU5" s="94"/>
      <c r="BV5" s="94"/>
      <c r="BW5" s="94"/>
      <c r="BX5" s="94"/>
      <c r="BY5" s="93"/>
      <c r="BZ5" s="93"/>
      <c r="CA5" s="94"/>
      <c r="CB5" s="94"/>
      <c r="CC5" s="94"/>
      <c r="CD5" s="94"/>
      <c r="CE5" s="94"/>
      <c r="CF5" s="94"/>
      <c r="CG5" s="95"/>
      <c r="CH5" s="95"/>
      <c r="CI5" s="94"/>
      <c r="CJ5" s="94"/>
      <c r="CK5" s="94"/>
      <c r="CL5" s="94"/>
      <c r="CM5" s="95"/>
      <c r="CN5" s="95"/>
      <c r="CO5" s="94"/>
      <c r="CP5" s="94"/>
      <c r="CQ5" s="94"/>
      <c r="CR5" s="94"/>
      <c r="CS5" s="94"/>
      <c r="CT5" s="94"/>
      <c r="CU5" s="94"/>
      <c r="CV5" s="94"/>
      <c r="CW5" s="95"/>
      <c r="CX5" s="95"/>
      <c r="CY5" s="94"/>
      <c r="CZ5" s="94"/>
      <c r="DA5" s="94"/>
      <c r="DB5" s="94"/>
      <c r="DC5" s="94"/>
      <c r="DD5" s="94"/>
      <c r="DE5" s="93"/>
      <c r="DF5" s="93"/>
      <c r="DG5" s="95"/>
      <c r="DH5" s="95"/>
      <c r="DI5" s="95"/>
      <c r="DJ5" s="95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5"/>
      <c r="EH5" s="95"/>
      <c r="EI5" s="94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94"/>
      <c r="EV5" s="94"/>
      <c r="EW5" s="94"/>
      <c r="EX5" s="94"/>
      <c r="EY5" s="94"/>
      <c r="EZ5" s="94"/>
      <c r="FA5" s="95"/>
      <c r="FB5" s="95"/>
      <c r="FC5" s="95"/>
      <c r="FD5" s="95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5"/>
      <c r="GD5" s="95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6"/>
      <c r="HB5" s="28"/>
      <c r="HC5" s="28"/>
    </row>
    <row r="6" spans="1:211" ht="2.25" customHeight="1" hidden="1">
      <c r="A6" s="29"/>
      <c r="B6" s="27"/>
      <c r="C6" s="99"/>
      <c r="D6" s="100"/>
      <c r="E6" s="101"/>
      <c r="F6" s="101"/>
      <c r="G6" s="101"/>
      <c r="H6" s="101"/>
      <c r="I6" s="101"/>
      <c r="J6" s="101"/>
      <c r="K6" s="101"/>
      <c r="L6" s="101"/>
      <c r="M6" s="100"/>
      <c r="N6" s="102" t="s">
        <v>244</v>
      </c>
      <c r="O6" s="103"/>
      <c r="P6" s="101"/>
      <c r="Q6" s="101"/>
      <c r="R6" s="101"/>
      <c r="S6" s="100"/>
      <c r="T6" s="100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0"/>
      <c r="AH6" s="100"/>
      <c r="AI6" s="101"/>
      <c r="AJ6" s="101"/>
      <c r="AK6" s="101"/>
      <c r="AL6" s="101"/>
      <c r="AM6" s="100"/>
      <c r="AN6" s="100"/>
      <c r="AO6" s="101"/>
      <c r="AP6" s="101"/>
      <c r="AQ6" s="101"/>
      <c r="AR6" s="101"/>
      <c r="AS6" s="101"/>
      <c r="AT6" s="101"/>
      <c r="AU6" s="101"/>
      <c r="AV6" s="101"/>
      <c r="AW6" s="100"/>
      <c r="AX6" s="100"/>
      <c r="AY6" s="100"/>
      <c r="AZ6" s="100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0"/>
      <c r="BL6" s="100"/>
      <c r="BM6" s="100"/>
      <c r="BN6" s="100"/>
      <c r="BO6" s="101"/>
      <c r="BP6" s="101"/>
      <c r="BQ6" s="101"/>
      <c r="BR6" s="101"/>
      <c r="BS6" s="100"/>
      <c r="BT6" s="100"/>
      <c r="BU6" s="101"/>
      <c r="BV6" s="101"/>
      <c r="BW6" s="101"/>
      <c r="BX6" s="101"/>
      <c r="BY6" s="100"/>
      <c r="BZ6" s="100"/>
      <c r="CA6" s="101"/>
      <c r="CB6" s="101"/>
      <c r="CC6" s="101"/>
      <c r="CD6" s="101"/>
      <c r="CE6" s="101"/>
      <c r="CF6" s="101"/>
      <c r="CG6" s="104"/>
      <c r="CH6" s="104"/>
      <c r="CI6" s="101"/>
      <c r="CJ6" s="101"/>
      <c r="CK6" s="101"/>
      <c r="CL6" s="101"/>
      <c r="CM6" s="104"/>
      <c r="CN6" s="104"/>
      <c r="CO6" s="101"/>
      <c r="CP6" s="101"/>
      <c r="CQ6" s="101"/>
      <c r="CR6" s="101"/>
      <c r="CS6" s="101"/>
      <c r="CT6" s="101"/>
      <c r="CU6" s="101"/>
      <c r="CV6" s="101"/>
      <c r="CW6" s="104"/>
      <c r="CX6" s="104"/>
      <c r="CY6" s="101"/>
      <c r="CZ6" s="101"/>
      <c r="DA6" s="101"/>
      <c r="DB6" s="101"/>
      <c r="DC6" s="101"/>
      <c r="DD6" s="101"/>
      <c r="DE6" s="100"/>
      <c r="DF6" s="100"/>
      <c r="DG6" s="104"/>
      <c r="DH6" s="104"/>
      <c r="DI6" s="104"/>
      <c r="DJ6" s="104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4"/>
      <c r="EH6" s="104"/>
      <c r="EI6" s="101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01"/>
      <c r="EV6" s="101"/>
      <c r="EW6" s="101"/>
      <c r="EX6" s="101"/>
      <c r="EY6" s="101"/>
      <c r="EZ6" s="101"/>
      <c r="FA6" s="104"/>
      <c r="FB6" s="104"/>
      <c r="FC6" s="104"/>
      <c r="FD6" s="104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4"/>
      <c r="GD6" s="104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5"/>
      <c r="HB6" s="30"/>
      <c r="HC6" s="30"/>
    </row>
    <row r="7" spans="1:211" ht="15" customHeight="1">
      <c r="A7" s="124" t="s">
        <v>0</v>
      </c>
      <c r="B7" s="124" t="s">
        <v>1</v>
      </c>
      <c r="C7" s="110" t="s">
        <v>2</v>
      </c>
      <c r="D7" s="110"/>
      <c r="E7" s="110"/>
      <c r="F7" s="110"/>
      <c r="G7" s="110"/>
      <c r="H7" s="110"/>
      <c r="I7" s="110"/>
      <c r="J7" s="110"/>
      <c r="K7" s="110" t="str">
        <f>C7</f>
        <v>TỔNG TÀI SẢN</v>
      </c>
      <c r="L7" s="110"/>
      <c r="M7" s="110"/>
      <c r="N7" s="110"/>
      <c r="O7" s="110"/>
      <c r="P7" s="110"/>
      <c r="Q7" s="110"/>
      <c r="R7" s="110"/>
      <c r="S7" s="110" t="s">
        <v>2</v>
      </c>
      <c r="T7" s="110"/>
      <c r="U7" s="110"/>
      <c r="V7" s="110"/>
      <c r="W7" s="110"/>
      <c r="X7" s="110"/>
      <c r="Y7" s="110"/>
      <c r="Z7" s="110"/>
      <c r="AA7" s="110"/>
      <c r="AB7" s="110"/>
      <c r="AC7" s="110" t="str">
        <f>S7</f>
        <v>TỔNG TÀI SẢN</v>
      </c>
      <c r="AD7" s="110"/>
      <c r="AE7" s="110"/>
      <c r="AF7" s="110"/>
      <c r="AG7" s="110"/>
      <c r="AH7" s="110"/>
      <c r="AI7" s="110"/>
      <c r="AJ7" s="110"/>
      <c r="AK7" s="110"/>
      <c r="AL7" s="110"/>
      <c r="AM7" s="110" t="str">
        <f>AC7</f>
        <v>TỔNG TÀI SẢN</v>
      </c>
      <c r="AN7" s="110"/>
      <c r="AO7" s="110"/>
      <c r="AP7" s="110"/>
      <c r="AQ7" s="110"/>
      <c r="AR7" s="110"/>
      <c r="AS7" s="110"/>
      <c r="AT7" s="110"/>
      <c r="AU7" s="110"/>
      <c r="AV7" s="110"/>
      <c r="AW7" s="110" t="str">
        <f>AM7</f>
        <v>TỔNG TÀI SẢN</v>
      </c>
      <c r="AX7" s="110"/>
      <c r="AY7" s="110"/>
      <c r="AZ7" s="110"/>
      <c r="BA7" s="110"/>
      <c r="BB7" s="110"/>
      <c r="BC7" s="110"/>
      <c r="BD7" s="110"/>
      <c r="BE7" s="110"/>
      <c r="BF7" s="110"/>
      <c r="BG7" s="110" t="s">
        <v>2</v>
      </c>
      <c r="BH7" s="110"/>
      <c r="BI7" s="110"/>
      <c r="BJ7" s="110"/>
      <c r="BK7" s="110"/>
      <c r="BL7" s="110"/>
      <c r="BM7" s="110"/>
      <c r="BN7" s="110"/>
      <c r="BO7" s="110"/>
      <c r="BP7" s="110"/>
      <c r="BQ7" s="110" t="str">
        <f>BG7</f>
        <v>TỔNG TÀI SẢN</v>
      </c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 t="s">
        <v>2</v>
      </c>
      <c r="CD7" s="110"/>
      <c r="CE7" s="110"/>
      <c r="CF7" s="110"/>
      <c r="CG7" s="110"/>
      <c r="CH7" s="110"/>
      <c r="CI7" s="110"/>
      <c r="CJ7" s="110"/>
      <c r="CK7" s="110"/>
      <c r="CL7" s="110"/>
      <c r="CM7" s="110" t="str">
        <f>CC7</f>
        <v>TỔNG TÀI SẢN</v>
      </c>
      <c r="CN7" s="110"/>
      <c r="CO7" s="110"/>
      <c r="CP7" s="110"/>
      <c r="CQ7" s="110"/>
      <c r="CR7" s="110"/>
      <c r="CS7" s="110"/>
      <c r="CT7" s="110"/>
      <c r="CU7" s="110"/>
      <c r="CV7" s="110"/>
      <c r="CW7" s="110" t="str">
        <f>CM7</f>
        <v>TỔNG TÀI SẢN</v>
      </c>
      <c r="CX7" s="110"/>
      <c r="CY7" s="110"/>
      <c r="CZ7" s="110"/>
      <c r="DA7" s="110"/>
      <c r="DB7" s="110"/>
      <c r="DC7" s="110"/>
      <c r="DD7" s="110"/>
      <c r="DE7" s="110" t="s">
        <v>3</v>
      </c>
      <c r="DF7" s="110"/>
      <c r="DG7" s="110"/>
      <c r="DH7" s="110"/>
      <c r="DI7" s="110"/>
      <c r="DJ7" s="110"/>
      <c r="DK7" s="110"/>
      <c r="DL7" s="110"/>
      <c r="DM7" s="110" t="str">
        <f>DE7</f>
        <v>TỔNG NGUỒN VỐN</v>
      </c>
      <c r="DN7" s="110"/>
      <c r="DO7" s="110"/>
      <c r="DP7" s="110"/>
      <c r="DQ7" s="110"/>
      <c r="DR7" s="110"/>
      <c r="DS7" s="110"/>
      <c r="DT7" s="110"/>
      <c r="DU7" s="110"/>
      <c r="DV7" s="110"/>
      <c r="DW7" s="110" t="str">
        <f>DM7</f>
        <v>TỔNG NGUỒN VỐN</v>
      </c>
      <c r="DX7" s="110"/>
      <c r="DY7" s="110"/>
      <c r="DZ7" s="110"/>
      <c r="EA7" s="110"/>
      <c r="EB7" s="110"/>
      <c r="EC7" s="110"/>
      <c r="ED7" s="110"/>
      <c r="EE7" s="110"/>
      <c r="EF7" s="110"/>
      <c r="EG7" s="110" t="str">
        <f>DW7</f>
        <v>TỔNG NGUỒN VỐN</v>
      </c>
      <c r="EH7" s="110"/>
      <c r="EI7" s="110"/>
      <c r="EJ7" s="110"/>
      <c r="EK7" s="110"/>
      <c r="EL7" s="110"/>
      <c r="EM7" s="110"/>
      <c r="EN7" s="110"/>
      <c r="EO7" s="110"/>
      <c r="EP7" s="110"/>
      <c r="EQ7" s="110" t="str">
        <f>EG7</f>
        <v>TỔNG NGUỒN VỐN</v>
      </c>
      <c r="ER7" s="110"/>
      <c r="ES7" s="110"/>
      <c r="ET7" s="110"/>
      <c r="EU7" s="110"/>
      <c r="EV7" s="110"/>
      <c r="EW7" s="110"/>
      <c r="EX7" s="110"/>
      <c r="EY7" s="110"/>
      <c r="EZ7" s="110"/>
      <c r="FA7" s="110" t="s">
        <v>3</v>
      </c>
      <c r="FB7" s="110"/>
      <c r="FC7" s="110"/>
      <c r="FD7" s="110"/>
      <c r="FE7" s="110"/>
      <c r="FF7" s="110"/>
      <c r="FG7" s="110"/>
      <c r="FH7" s="110"/>
      <c r="FI7" s="110"/>
      <c r="FJ7" s="110"/>
      <c r="FK7" s="110" t="str">
        <f>FA7</f>
        <v>TỔNG NGUỒN VỐN</v>
      </c>
      <c r="FL7" s="110"/>
      <c r="FM7" s="110"/>
      <c r="FN7" s="110"/>
      <c r="FO7" s="110"/>
      <c r="FP7" s="110"/>
      <c r="FQ7" s="110"/>
      <c r="FR7" s="110"/>
      <c r="FS7" s="110"/>
      <c r="FT7" s="110"/>
      <c r="FU7" s="110" t="str">
        <f>FK7</f>
        <v>TỔNG NGUỒN VỐN</v>
      </c>
      <c r="FV7" s="110"/>
      <c r="FW7" s="110"/>
      <c r="FX7" s="110"/>
      <c r="FY7" s="110"/>
      <c r="FZ7" s="110"/>
      <c r="GA7" s="110"/>
      <c r="GB7" s="110"/>
      <c r="GC7" s="110"/>
      <c r="GD7" s="110"/>
      <c r="GE7" s="110" t="str">
        <f>FU7</f>
        <v>TỔNG NGUỒN VỐN</v>
      </c>
      <c r="GF7" s="110"/>
      <c r="GG7" s="110"/>
      <c r="GH7" s="110"/>
      <c r="GI7" s="110"/>
      <c r="GJ7" s="110"/>
      <c r="GK7" s="110" t="s">
        <v>182</v>
      </c>
      <c r="GL7" s="110"/>
      <c r="GM7" s="110"/>
      <c r="GN7" s="110"/>
      <c r="GO7" s="110"/>
      <c r="GP7" s="110"/>
      <c r="GQ7" s="110" t="str">
        <f>GK7</f>
        <v>CÁC CHỈ TIÊU NGOÀI BẢNG CÂN ĐỐI KẾ TOÁN</v>
      </c>
      <c r="GR7" s="110"/>
      <c r="GS7" s="110"/>
      <c r="GT7" s="110"/>
      <c r="GU7" s="110"/>
      <c r="GV7" s="110"/>
      <c r="HB7" s="119" t="s">
        <v>4</v>
      </c>
      <c r="HC7" s="120"/>
    </row>
    <row r="8" spans="1:211" ht="15" customHeight="1">
      <c r="A8" s="125"/>
      <c r="B8" s="125"/>
      <c r="C8" s="110" t="s">
        <v>5</v>
      </c>
      <c r="D8" s="110"/>
      <c r="E8" s="110" t="s">
        <v>6</v>
      </c>
      <c r="F8" s="110"/>
      <c r="G8" s="110"/>
      <c r="H8" s="110"/>
      <c r="I8" s="110"/>
      <c r="J8" s="110"/>
      <c r="K8" s="110" t="str">
        <f>E8</f>
        <v>Tài sản ngắn hạn</v>
      </c>
      <c r="L8" s="110"/>
      <c r="M8" s="110"/>
      <c r="N8" s="110"/>
      <c r="O8" s="110"/>
      <c r="P8" s="110"/>
      <c r="Q8" s="110"/>
      <c r="R8" s="110"/>
      <c r="S8" s="110" t="s">
        <v>6</v>
      </c>
      <c r="T8" s="110"/>
      <c r="U8" s="110"/>
      <c r="V8" s="110"/>
      <c r="W8" s="110"/>
      <c r="X8" s="110"/>
      <c r="Y8" s="110"/>
      <c r="Z8" s="110"/>
      <c r="AA8" s="110"/>
      <c r="AB8" s="110"/>
      <c r="AC8" s="110" t="str">
        <f>S8</f>
        <v>Tài sản ngắn hạn</v>
      </c>
      <c r="AD8" s="110"/>
      <c r="AE8" s="110"/>
      <c r="AF8" s="110"/>
      <c r="AG8" s="110"/>
      <c r="AH8" s="110"/>
      <c r="AI8" s="110"/>
      <c r="AJ8" s="110"/>
      <c r="AK8" s="110"/>
      <c r="AL8" s="110"/>
      <c r="AM8" s="110" t="str">
        <f>AC8</f>
        <v>Tài sản ngắn hạn</v>
      </c>
      <c r="AN8" s="110"/>
      <c r="AO8" s="110"/>
      <c r="AP8" s="110"/>
      <c r="AQ8" s="110"/>
      <c r="AR8" s="110"/>
      <c r="AS8" s="110"/>
      <c r="AT8" s="110"/>
      <c r="AU8" s="110"/>
      <c r="AV8" s="110"/>
      <c r="AW8" s="110" t="s">
        <v>7</v>
      </c>
      <c r="AX8" s="110"/>
      <c r="AY8" s="110"/>
      <c r="AZ8" s="110"/>
      <c r="BA8" s="110"/>
      <c r="BB8" s="110"/>
      <c r="BC8" s="110"/>
      <c r="BD8" s="110"/>
      <c r="BE8" s="110"/>
      <c r="BF8" s="110"/>
      <c r="BG8" s="110" t="s">
        <v>7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 t="str">
        <f>BG8</f>
        <v>Tài sản dài hạn</v>
      </c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 t="s">
        <v>7</v>
      </c>
      <c r="CD8" s="110"/>
      <c r="CE8" s="110"/>
      <c r="CF8" s="110"/>
      <c r="CG8" s="110"/>
      <c r="CH8" s="110"/>
      <c r="CI8" s="110"/>
      <c r="CJ8" s="110"/>
      <c r="CK8" s="110"/>
      <c r="CL8" s="110"/>
      <c r="CM8" s="110" t="str">
        <f>CC8</f>
        <v>Tài sản dài hạn</v>
      </c>
      <c r="CN8" s="110"/>
      <c r="CO8" s="110"/>
      <c r="CP8" s="110"/>
      <c r="CQ8" s="110"/>
      <c r="CR8" s="110"/>
      <c r="CS8" s="110"/>
      <c r="CT8" s="110"/>
      <c r="CU8" s="110"/>
      <c r="CV8" s="110"/>
      <c r="CW8" s="110" t="str">
        <f>CM8</f>
        <v>Tài sản dài hạn</v>
      </c>
      <c r="CX8" s="110"/>
      <c r="CY8" s="110"/>
      <c r="CZ8" s="110"/>
      <c r="DA8" s="110"/>
      <c r="DB8" s="110"/>
      <c r="DC8" s="110"/>
      <c r="DD8" s="110"/>
      <c r="DE8" s="110" t="s">
        <v>5</v>
      </c>
      <c r="DF8" s="110"/>
      <c r="DG8" s="111" t="s">
        <v>8</v>
      </c>
      <c r="DH8" s="111"/>
      <c r="DI8" s="111"/>
      <c r="DJ8" s="111"/>
      <c r="DK8" s="111"/>
      <c r="DL8" s="111"/>
      <c r="DM8" s="111" t="str">
        <f>DG8</f>
        <v>Nợ phải trả</v>
      </c>
      <c r="DN8" s="111"/>
      <c r="DO8" s="111"/>
      <c r="DP8" s="111"/>
      <c r="DQ8" s="111"/>
      <c r="DR8" s="111"/>
      <c r="DS8" s="111"/>
      <c r="DT8" s="111"/>
      <c r="DU8" s="111"/>
      <c r="DV8" s="111"/>
      <c r="DW8" s="111" t="str">
        <f>DM8</f>
        <v>Nợ phải trả</v>
      </c>
      <c r="DX8" s="111"/>
      <c r="DY8" s="111"/>
      <c r="DZ8" s="111"/>
      <c r="EA8" s="111"/>
      <c r="EB8" s="111"/>
      <c r="EC8" s="111"/>
      <c r="ED8" s="111"/>
      <c r="EE8" s="111"/>
      <c r="EF8" s="111"/>
      <c r="EG8" s="111" t="str">
        <f>DW8</f>
        <v>Nợ phải trả</v>
      </c>
      <c r="EH8" s="111"/>
      <c r="EI8" s="111"/>
      <c r="EJ8" s="111"/>
      <c r="EK8" s="111"/>
      <c r="EL8" s="111"/>
      <c r="EM8" s="111"/>
      <c r="EN8" s="111"/>
      <c r="EO8" s="111"/>
      <c r="EP8" s="111"/>
      <c r="EQ8" s="111" t="str">
        <f>EG8</f>
        <v>Nợ phải trả</v>
      </c>
      <c r="ER8" s="111"/>
      <c r="ES8" s="111"/>
      <c r="ET8" s="111"/>
      <c r="EU8" s="111"/>
      <c r="EV8" s="111"/>
      <c r="EW8" s="111"/>
      <c r="EX8" s="111"/>
      <c r="EY8" s="111"/>
      <c r="EZ8" s="111"/>
      <c r="FA8" s="110" t="s">
        <v>9</v>
      </c>
      <c r="FB8" s="110"/>
      <c r="FC8" s="110"/>
      <c r="FD8" s="110"/>
      <c r="FE8" s="110"/>
      <c r="FF8" s="110"/>
      <c r="FG8" s="110"/>
      <c r="FH8" s="110"/>
      <c r="FI8" s="110"/>
      <c r="FJ8" s="110"/>
      <c r="FK8" s="110" t="str">
        <f>FA8</f>
        <v>Vốn chủ sở hữu</v>
      </c>
      <c r="FL8" s="110"/>
      <c r="FM8" s="110"/>
      <c r="FN8" s="110"/>
      <c r="FO8" s="110"/>
      <c r="FP8" s="110"/>
      <c r="FQ8" s="110"/>
      <c r="FR8" s="110"/>
      <c r="FS8" s="110"/>
      <c r="FT8" s="110"/>
      <c r="FU8" s="110" t="s">
        <v>9</v>
      </c>
      <c r="FV8" s="110"/>
      <c r="FW8" s="110"/>
      <c r="FX8" s="110"/>
      <c r="FY8" s="110"/>
      <c r="FZ8" s="110"/>
      <c r="GA8" s="110"/>
      <c r="GB8" s="110"/>
      <c r="GC8" s="110"/>
      <c r="GD8" s="110"/>
      <c r="GE8" s="110" t="str">
        <f>FU8</f>
        <v>Vốn chủ sở hữu</v>
      </c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HB8" s="120"/>
      <c r="HC8" s="120"/>
    </row>
    <row r="9" spans="1:211" ht="15" customHeight="1">
      <c r="A9" s="125"/>
      <c r="B9" s="125"/>
      <c r="C9" s="110"/>
      <c r="D9" s="110"/>
      <c r="E9" s="111" t="s">
        <v>5</v>
      </c>
      <c r="F9" s="111"/>
      <c r="G9" s="110" t="s">
        <v>10</v>
      </c>
      <c r="H9" s="110"/>
      <c r="I9" s="110"/>
      <c r="J9" s="110"/>
      <c r="K9" s="110" t="str">
        <f>G9</f>
        <v>Trong đó</v>
      </c>
      <c r="L9" s="110"/>
      <c r="M9" s="110"/>
      <c r="N9" s="110"/>
      <c r="O9" s="110"/>
      <c r="P9" s="110"/>
      <c r="Q9" s="110"/>
      <c r="R9" s="110"/>
      <c r="S9" s="110" t="str">
        <f>K9</f>
        <v>Trong đó</v>
      </c>
      <c r="T9" s="110"/>
      <c r="U9" s="110"/>
      <c r="V9" s="110"/>
      <c r="W9" s="110"/>
      <c r="X9" s="110"/>
      <c r="Y9" s="110"/>
      <c r="Z9" s="110"/>
      <c r="AA9" s="110"/>
      <c r="AB9" s="110"/>
      <c r="AC9" s="110" t="str">
        <f>S9</f>
        <v>Trong đó</v>
      </c>
      <c r="AD9" s="110"/>
      <c r="AE9" s="110"/>
      <c r="AF9" s="110"/>
      <c r="AG9" s="110"/>
      <c r="AH9" s="110"/>
      <c r="AI9" s="110"/>
      <c r="AJ9" s="110"/>
      <c r="AK9" s="110"/>
      <c r="AL9" s="110"/>
      <c r="AM9" s="110" t="str">
        <f>AC9</f>
        <v>Trong đó</v>
      </c>
      <c r="AN9" s="110"/>
      <c r="AO9" s="110"/>
      <c r="AP9" s="110"/>
      <c r="AQ9" s="110"/>
      <c r="AR9" s="110"/>
      <c r="AS9" s="110"/>
      <c r="AT9" s="110"/>
      <c r="AU9" s="110"/>
      <c r="AV9" s="110"/>
      <c r="AW9" s="111" t="s">
        <v>5</v>
      </c>
      <c r="AX9" s="111"/>
      <c r="AY9" s="112" t="s">
        <v>10</v>
      </c>
      <c r="AZ9" s="113"/>
      <c r="BA9" s="113"/>
      <c r="BB9" s="113"/>
      <c r="BC9" s="113"/>
      <c r="BD9" s="113"/>
      <c r="BE9" s="113"/>
      <c r="BF9" s="113"/>
      <c r="BG9" s="112" t="str">
        <f>AY9</f>
        <v>Trong đó</v>
      </c>
      <c r="BH9" s="113"/>
      <c r="BI9" s="113"/>
      <c r="BJ9" s="113"/>
      <c r="BK9" s="113"/>
      <c r="BL9" s="113"/>
      <c r="BM9" s="113"/>
      <c r="BN9" s="113"/>
      <c r="BO9" s="113"/>
      <c r="BP9" s="129"/>
      <c r="BQ9" s="110" t="str">
        <f>BG9</f>
        <v>Trong đó</v>
      </c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 t="str">
        <f>BQ9</f>
        <v>Trong đó</v>
      </c>
      <c r="CD9" s="110"/>
      <c r="CE9" s="110"/>
      <c r="CF9" s="110"/>
      <c r="CG9" s="110"/>
      <c r="CH9" s="110"/>
      <c r="CI9" s="110"/>
      <c r="CJ9" s="110"/>
      <c r="CK9" s="110"/>
      <c r="CL9" s="110"/>
      <c r="CM9" s="110" t="str">
        <f>CC9</f>
        <v>Trong đó</v>
      </c>
      <c r="CN9" s="110"/>
      <c r="CO9" s="110"/>
      <c r="CP9" s="110"/>
      <c r="CQ9" s="110"/>
      <c r="CR9" s="110"/>
      <c r="CS9" s="110"/>
      <c r="CT9" s="110"/>
      <c r="CU9" s="110"/>
      <c r="CV9" s="110"/>
      <c r="CW9" s="110" t="str">
        <f>CM9</f>
        <v>Trong đó</v>
      </c>
      <c r="CX9" s="110"/>
      <c r="CY9" s="110"/>
      <c r="CZ9" s="110"/>
      <c r="DA9" s="110"/>
      <c r="DB9" s="110"/>
      <c r="DC9" s="110"/>
      <c r="DD9" s="110"/>
      <c r="DE9" s="110"/>
      <c r="DF9" s="110"/>
      <c r="DG9" s="111" t="s">
        <v>5</v>
      </c>
      <c r="DH9" s="111"/>
      <c r="DI9" s="111" t="s">
        <v>10</v>
      </c>
      <c r="DJ9" s="111"/>
      <c r="DK9" s="111"/>
      <c r="DL9" s="111"/>
      <c r="DM9" s="111" t="str">
        <f>DI9</f>
        <v>Trong đó</v>
      </c>
      <c r="DN9" s="111"/>
      <c r="DO9" s="111"/>
      <c r="DP9" s="111"/>
      <c r="DQ9" s="111"/>
      <c r="DR9" s="111"/>
      <c r="DS9" s="111"/>
      <c r="DT9" s="111"/>
      <c r="DU9" s="111"/>
      <c r="DV9" s="111"/>
      <c r="DW9" s="111" t="str">
        <f>DM9</f>
        <v>Trong đó</v>
      </c>
      <c r="DX9" s="111"/>
      <c r="DY9" s="111"/>
      <c r="DZ9" s="111"/>
      <c r="EA9" s="111"/>
      <c r="EB9" s="111"/>
      <c r="EC9" s="111"/>
      <c r="ED9" s="111"/>
      <c r="EE9" s="111"/>
      <c r="EF9" s="111"/>
      <c r="EG9" s="111" t="str">
        <f>DW9</f>
        <v>Trong đó</v>
      </c>
      <c r="EH9" s="111"/>
      <c r="EI9" s="111"/>
      <c r="EJ9" s="111"/>
      <c r="EK9" s="111"/>
      <c r="EL9" s="111"/>
      <c r="EM9" s="111"/>
      <c r="EN9" s="111"/>
      <c r="EO9" s="111"/>
      <c r="EP9" s="111"/>
      <c r="EQ9" s="111" t="str">
        <f>DW9</f>
        <v>Trong đó</v>
      </c>
      <c r="ER9" s="111"/>
      <c r="ES9" s="111"/>
      <c r="ET9" s="111"/>
      <c r="EU9" s="111"/>
      <c r="EV9" s="111"/>
      <c r="EW9" s="111"/>
      <c r="EX9" s="111"/>
      <c r="EY9" s="111"/>
      <c r="EZ9" s="111"/>
      <c r="FA9" s="111" t="s">
        <v>5</v>
      </c>
      <c r="FB9" s="111"/>
      <c r="FC9" s="110" t="s">
        <v>10</v>
      </c>
      <c r="FD9" s="110"/>
      <c r="FE9" s="110"/>
      <c r="FF9" s="110"/>
      <c r="FG9" s="110"/>
      <c r="FH9" s="110"/>
      <c r="FI9" s="110"/>
      <c r="FJ9" s="110"/>
      <c r="FK9" s="110" t="str">
        <f>FC9</f>
        <v>Trong đó</v>
      </c>
      <c r="FL9" s="110"/>
      <c r="FM9" s="110"/>
      <c r="FN9" s="110"/>
      <c r="FO9" s="110"/>
      <c r="FP9" s="110"/>
      <c r="FQ9" s="110"/>
      <c r="FR9" s="110"/>
      <c r="FS9" s="110"/>
      <c r="FT9" s="110"/>
      <c r="FU9" s="110" t="str">
        <f>FK9</f>
        <v>Trong đó</v>
      </c>
      <c r="FV9" s="110"/>
      <c r="FW9" s="110"/>
      <c r="FX9" s="110"/>
      <c r="FY9" s="110"/>
      <c r="FZ9" s="110"/>
      <c r="GA9" s="110"/>
      <c r="GB9" s="110"/>
      <c r="GC9" s="110"/>
      <c r="GD9" s="110"/>
      <c r="GE9" s="110" t="str">
        <f>GK9</f>
        <v>Trong đó</v>
      </c>
      <c r="GF9" s="110"/>
      <c r="GG9" s="110"/>
      <c r="GH9" s="110"/>
      <c r="GI9" s="110"/>
      <c r="GJ9" s="110"/>
      <c r="GK9" s="111" t="s">
        <v>10</v>
      </c>
      <c r="GL9" s="111"/>
      <c r="GM9" s="111"/>
      <c r="GN9" s="111"/>
      <c r="GO9" s="111"/>
      <c r="GP9" s="111"/>
      <c r="GQ9" s="111" t="str">
        <f>GK9</f>
        <v>Trong đó</v>
      </c>
      <c r="GR9" s="111"/>
      <c r="GS9" s="111"/>
      <c r="GT9" s="111"/>
      <c r="GU9" s="111"/>
      <c r="GV9" s="111"/>
      <c r="HB9" s="120"/>
      <c r="HC9" s="120"/>
    </row>
    <row r="10" spans="1:211" ht="15" customHeight="1">
      <c r="A10" s="125"/>
      <c r="B10" s="125"/>
      <c r="C10" s="110"/>
      <c r="D10" s="110"/>
      <c r="E10" s="111"/>
      <c r="F10" s="111"/>
      <c r="G10" s="110" t="s">
        <v>12</v>
      </c>
      <c r="H10" s="110"/>
      <c r="I10" s="110"/>
      <c r="J10" s="110"/>
      <c r="K10" s="110" t="str">
        <f>G10</f>
        <v>Tiền và các khoản tương đương tiền</v>
      </c>
      <c r="L10" s="110"/>
      <c r="M10" s="110" t="s">
        <v>13</v>
      </c>
      <c r="N10" s="110"/>
      <c r="O10" s="110"/>
      <c r="P10" s="110"/>
      <c r="Q10" s="110"/>
      <c r="R10" s="110"/>
      <c r="S10" s="110" t="s">
        <v>14</v>
      </c>
      <c r="T10" s="110"/>
      <c r="U10" s="110"/>
      <c r="V10" s="110"/>
      <c r="W10" s="110"/>
      <c r="X10" s="110"/>
      <c r="Y10" s="110"/>
      <c r="Z10" s="110"/>
      <c r="AA10" s="110"/>
      <c r="AB10" s="110"/>
      <c r="AC10" s="110" t="str">
        <f>S10</f>
        <v>Các khoản phải thu ngắn hạn</v>
      </c>
      <c r="AD10" s="110"/>
      <c r="AE10" s="110"/>
      <c r="AF10" s="110"/>
      <c r="AG10" s="110" t="s">
        <v>15</v>
      </c>
      <c r="AH10" s="110"/>
      <c r="AI10" s="110"/>
      <c r="AJ10" s="110"/>
      <c r="AK10" s="110"/>
      <c r="AL10" s="110"/>
      <c r="AM10" s="110" t="s">
        <v>16</v>
      </c>
      <c r="AN10" s="110"/>
      <c r="AO10" s="110"/>
      <c r="AP10" s="110"/>
      <c r="AQ10" s="110"/>
      <c r="AR10" s="110"/>
      <c r="AS10" s="110"/>
      <c r="AT10" s="110"/>
      <c r="AU10" s="110"/>
      <c r="AV10" s="110"/>
      <c r="AW10" s="111"/>
      <c r="AX10" s="111"/>
      <c r="AY10" s="114" t="s">
        <v>17</v>
      </c>
      <c r="AZ10" s="115"/>
      <c r="BA10" s="115"/>
      <c r="BB10" s="115"/>
      <c r="BC10" s="115"/>
      <c r="BD10" s="115"/>
      <c r="BE10" s="115"/>
      <c r="BF10" s="115"/>
      <c r="BG10" s="114" t="str">
        <f>AY10</f>
        <v>Các khoản phải thu dài hạn</v>
      </c>
      <c r="BH10" s="115"/>
      <c r="BI10" s="115"/>
      <c r="BJ10" s="127"/>
      <c r="BK10" s="110" t="s">
        <v>18</v>
      </c>
      <c r="BL10" s="110"/>
      <c r="BM10" s="110"/>
      <c r="BN10" s="110"/>
      <c r="BO10" s="110"/>
      <c r="BP10" s="110"/>
      <c r="BQ10" s="110" t="str">
        <f>BK10</f>
        <v>Tài sản cố định</v>
      </c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 t="str">
        <f>BQ10</f>
        <v>Tài sản cố định</v>
      </c>
      <c r="CD10" s="110"/>
      <c r="CE10" s="110"/>
      <c r="CF10" s="110"/>
      <c r="CG10" s="110" t="s">
        <v>19</v>
      </c>
      <c r="CH10" s="110"/>
      <c r="CI10" s="110"/>
      <c r="CJ10" s="110"/>
      <c r="CK10" s="110"/>
      <c r="CL10" s="110"/>
      <c r="CM10" s="110" t="s">
        <v>20</v>
      </c>
      <c r="CN10" s="110"/>
      <c r="CO10" s="110"/>
      <c r="CP10" s="110"/>
      <c r="CQ10" s="110"/>
      <c r="CR10" s="110"/>
      <c r="CS10" s="110"/>
      <c r="CT10" s="110"/>
      <c r="CU10" s="110"/>
      <c r="CV10" s="110"/>
      <c r="CW10" s="110" t="s">
        <v>21</v>
      </c>
      <c r="CX10" s="110"/>
      <c r="CY10" s="110"/>
      <c r="CZ10" s="110"/>
      <c r="DA10" s="110"/>
      <c r="DB10" s="110"/>
      <c r="DC10" s="110"/>
      <c r="DD10" s="110"/>
      <c r="DE10" s="110"/>
      <c r="DF10" s="110"/>
      <c r="DG10" s="111"/>
      <c r="DH10" s="111"/>
      <c r="DI10" s="110" t="s">
        <v>22</v>
      </c>
      <c r="DJ10" s="110"/>
      <c r="DK10" s="110"/>
      <c r="DL10" s="110"/>
      <c r="DM10" s="110" t="str">
        <f>DI10</f>
        <v>Nợ ngắn hạn</v>
      </c>
      <c r="DN10" s="110"/>
      <c r="DO10" s="110"/>
      <c r="DP10" s="110"/>
      <c r="DQ10" s="110"/>
      <c r="DR10" s="110"/>
      <c r="DS10" s="110"/>
      <c r="DT10" s="110"/>
      <c r="DU10" s="110"/>
      <c r="DV10" s="110"/>
      <c r="DW10" s="110" t="str">
        <f>DM10</f>
        <v>Nợ ngắn hạn</v>
      </c>
      <c r="DX10" s="110"/>
      <c r="DY10" s="110"/>
      <c r="DZ10" s="110"/>
      <c r="EA10" s="110"/>
      <c r="EB10" s="110"/>
      <c r="EC10" s="110"/>
      <c r="ED10" s="110"/>
      <c r="EE10" s="110"/>
      <c r="EF10" s="110"/>
      <c r="EG10" s="110" t="s">
        <v>23</v>
      </c>
      <c r="EH10" s="110"/>
      <c r="EI10" s="110"/>
      <c r="EJ10" s="110"/>
      <c r="EK10" s="110"/>
      <c r="EL10" s="110"/>
      <c r="EM10" s="110"/>
      <c r="EN10" s="110"/>
      <c r="EO10" s="110"/>
      <c r="EP10" s="110"/>
      <c r="EQ10" s="110" t="str">
        <f>EG10</f>
        <v>Nợ dài hạn</v>
      </c>
      <c r="ER10" s="110"/>
      <c r="ES10" s="110"/>
      <c r="ET10" s="110"/>
      <c r="EU10" s="110"/>
      <c r="EV10" s="110"/>
      <c r="EW10" s="110"/>
      <c r="EX10" s="110"/>
      <c r="EY10" s="110"/>
      <c r="EZ10" s="110"/>
      <c r="FA10" s="111"/>
      <c r="FB10" s="111"/>
      <c r="FC10" s="110" t="s">
        <v>5</v>
      </c>
      <c r="FD10" s="110"/>
      <c r="FE10" s="110" t="s">
        <v>9</v>
      </c>
      <c r="FF10" s="110"/>
      <c r="FG10" s="110"/>
      <c r="FH10" s="110"/>
      <c r="FI10" s="110"/>
      <c r="FJ10" s="110"/>
      <c r="FK10" s="111" t="str">
        <f>FE10</f>
        <v>Vốn chủ sở hữu</v>
      </c>
      <c r="FL10" s="111"/>
      <c r="FM10" s="111"/>
      <c r="FN10" s="111"/>
      <c r="FO10" s="111"/>
      <c r="FP10" s="111"/>
      <c r="FQ10" s="111"/>
      <c r="FR10" s="111"/>
      <c r="FS10" s="111"/>
      <c r="FT10" s="111"/>
      <c r="FU10" s="111" t="str">
        <f>FK10</f>
        <v>Vốn chủ sở hữu</v>
      </c>
      <c r="FV10" s="111"/>
      <c r="FW10" s="111"/>
      <c r="FX10" s="111"/>
      <c r="FY10" s="111"/>
      <c r="FZ10" s="111"/>
      <c r="GA10" s="111"/>
      <c r="GB10" s="111"/>
      <c r="GC10" s="110" t="s">
        <v>11</v>
      </c>
      <c r="GD10" s="110"/>
      <c r="GE10" s="111" t="str">
        <f>GC10</f>
        <v>Nguồn kinh phí và quỹ khác</v>
      </c>
      <c r="GF10" s="111"/>
      <c r="GG10" s="111"/>
      <c r="GH10" s="111"/>
      <c r="GI10" s="111"/>
      <c r="GJ10" s="111"/>
      <c r="GK10" s="110" t="s">
        <v>183</v>
      </c>
      <c r="GL10" s="110"/>
      <c r="GM10" s="110" t="s">
        <v>184</v>
      </c>
      <c r="GN10" s="110"/>
      <c r="GO10" s="110" t="s">
        <v>185</v>
      </c>
      <c r="GP10" s="110"/>
      <c r="GQ10" s="110" t="s">
        <v>186</v>
      </c>
      <c r="GR10" s="110"/>
      <c r="GS10" s="110" t="s">
        <v>251</v>
      </c>
      <c r="GT10" s="110"/>
      <c r="GU10" s="110" t="s">
        <v>187</v>
      </c>
      <c r="GV10" s="110"/>
      <c r="HB10" s="120"/>
      <c r="HC10" s="120"/>
    </row>
    <row r="11" spans="1:211" ht="14.25" customHeight="1">
      <c r="A11" s="125"/>
      <c r="B11" s="125"/>
      <c r="C11" s="110"/>
      <c r="D11" s="110"/>
      <c r="E11" s="111"/>
      <c r="F11" s="111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1"/>
      <c r="AX11" s="111"/>
      <c r="AY11" s="116"/>
      <c r="AZ11" s="117"/>
      <c r="BA11" s="117"/>
      <c r="BB11" s="117"/>
      <c r="BC11" s="117"/>
      <c r="BD11" s="117"/>
      <c r="BE11" s="117"/>
      <c r="BF11" s="117"/>
      <c r="BG11" s="116"/>
      <c r="BH11" s="117"/>
      <c r="BI11" s="117"/>
      <c r="BJ11" s="128"/>
      <c r="BK11" s="110" t="s">
        <v>18</v>
      </c>
      <c r="BL11" s="110"/>
      <c r="BM11" s="110" t="s">
        <v>24</v>
      </c>
      <c r="BN11" s="110"/>
      <c r="BO11" s="110"/>
      <c r="BP11" s="110"/>
      <c r="BQ11" s="110" t="str">
        <f>BM11</f>
        <v>Tài sản cố định hữu hình</v>
      </c>
      <c r="BR11" s="110"/>
      <c r="BS11" s="110" t="s">
        <v>25</v>
      </c>
      <c r="BT11" s="110"/>
      <c r="BU11" s="110"/>
      <c r="BV11" s="110"/>
      <c r="BW11" s="110"/>
      <c r="BX11" s="110"/>
      <c r="BY11" s="110" t="s">
        <v>26</v>
      </c>
      <c r="BZ11" s="110"/>
      <c r="CA11" s="110"/>
      <c r="CB11" s="110"/>
      <c r="CC11" s="110" t="str">
        <f>BY11</f>
        <v>Tài sản cố định vô hình</v>
      </c>
      <c r="CD11" s="110"/>
      <c r="CE11" s="110" t="s">
        <v>27</v>
      </c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1"/>
      <c r="DH11" s="111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1"/>
      <c r="FB11" s="111"/>
      <c r="FC11" s="110"/>
      <c r="FD11" s="110"/>
      <c r="FE11" s="110"/>
      <c r="FF11" s="110"/>
      <c r="FG11" s="110"/>
      <c r="FH11" s="110"/>
      <c r="FI11" s="110"/>
      <c r="FJ11" s="110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0"/>
      <c r="GD11" s="110"/>
      <c r="GE11" s="111"/>
      <c r="GF11" s="111"/>
      <c r="GG11" s="111"/>
      <c r="GH11" s="111"/>
      <c r="GI11" s="111"/>
      <c r="GJ11" s="111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HB11" s="120"/>
      <c r="HC11" s="120"/>
    </row>
    <row r="12" spans="1:211" ht="25.5" customHeight="1">
      <c r="A12" s="125"/>
      <c r="B12" s="125"/>
      <c r="C12" s="110"/>
      <c r="D12" s="110"/>
      <c r="E12" s="110" t="s">
        <v>94</v>
      </c>
      <c r="F12" s="110"/>
      <c r="G12" s="110" t="s">
        <v>12</v>
      </c>
      <c r="H12" s="110"/>
      <c r="I12" s="110" t="s">
        <v>95</v>
      </c>
      <c r="J12" s="110"/>
      <c r="K12" s="110" t="s">
        <v>96</v>
      </c>
      <c r="L12" s="110"/>
      <c r="M12" s="110" t="s">
        <v>13</v>
      </c>
      <c r="N12" s="110"/>
      <c r="O12" s="110" t="s">
        <v>97</v>
      </c>
      <c r="P12" s="110"/>
      <c r="Q12" s="110" t="s">
        <v>98</v>
      </c>
      <c r="R12" s="110"/>
      <c r="S12" s="110" t="s">
        <v>14</v>
      </c>
      <c r="T12" s="110"/>
      <c r="U12" s="110" t="s">
        <v>99</v>
      </c>
      <c r="V12" s="110"/>
      <c r="W12" s="110" t="s">
        <v>100</v>
      </c>
      <c r="X12" s="110"/>
      <c r="Y12" s="110" t="s">
        <v>101</v>
      </c>
      <c r="Z12" s="110"/>
      <c r="AA12" s="110" t="s">
        <v>102</v>
      </c>
      <c r="AB12" s="110"/>
      <c r="AC12" s="110" t="s">
        <v>103</v>
      </c>
      <c r="AD12" s="110"/>
      <c r="AE12" s="110" t="s">
        <v>104</v>
      </c>
      <c r="AF12" s="110"/>
      <c r="AG12" s="110" t="s">
        <v>15</v>
      </c>
      <c r="AH12" s="110"/>
      <c r="AI12" s="110" t="s">
        <v>15</v>
      </c>
      <c r="AJ12" s="110"/>
      <c r="AK12" s="110" t="s">
        <v>105</v>
      </c>
      <c r="AL12" s="110"/>
      <c r="AM12" s="110" t="s">
        <v>16</v>
      </c>
      <c r="AN12" s="110"/>
      <c r="AO12" s="110" t="s">
        <v>106</v>
      </c>
      <c r="AP12" s="110"/>
      <c r="AQ12" s="110" t="s">
        <v>107</v>
      </c>
      <c r="AR12" s="110"/>
      <c r="AS12" s="110" t="s">
        <v>108</v>
      </c>
      <c r="AT12" s="110"/>
      <c r="AU12" s="110" t="s">
        <v>16</v>
      </c>
      <c r="AV12" s="110"/>
      <c r="AW12" s="111" t="s">
        <v>109</v>
      </c>
      <c r="AX12" s="111"/>
      <c r="AY12" s="110" t="s">
        <v>17</v>
      </c>
      <c r="AZ12" s="110"/>
      <c r="BA12" s="110" t="s">
        <v>110</v>
      </c>
      <c r="BB12" s="110"/>
      <c r="BC12" s="110" t="s">
        <v>111</v>
      </c>
      <c r="BD12" s="110"/>
      <c r="BE12" s="110" t="s">
        <v>112</v>
      </c>
      <c r="BF12" s="110"/>
      <c r="BG12" s="110" t="s">
        <v>113</v>
      </c>
      <c r="BH12" s="110"/>
      <c r="BI12" s="110" t="s">
        <v>114</v>
      </c>
      <c r="BJ12" s="110"/>
      <c r="BK12" s="110"/>
      <c r="BL12" s="110"/>
      <c r="BM12" s="110" t="s">
        <v>24</v>
      </c>
      <c r="BN12" s="110"/>
      <c r="BO12" s="110" t="s">
        <v>115</v>
      </c>
      <c r="BP12" s="110"/>
      <c r="BQ12" s="110" t="s">
        <v>116</v>
      </c>
      <c r="BR12" s="110"/>
      <c r="BS12" s="110" t="s">
        <v>25</v>
      </c>
      <c r="BT12" s="110"/>
      <c r="BU12" s="110" t="s">
        <v>115</v>
      </c>
      <c r="BV12" s="110"/>
      <c r="BW12" s="110" t="s">
        <v>116</v>
      </c>
      <c r="BX12" s="110"/>
      <c r="BY12" s="110" t="s">
        <v>26</v>
      </c>
      <c r="BZ12" s="110"/>
      <c r="CA12" s="110" t="s">
        <v>115</v>
      </c>
      <c r="CB12" s="110"/>
      <c r="CC12" s="110" t="s">
        <v>116</v>
      </c>
      <c r="CD12" s="110"/>
      <c r="CE12" s="110"/>
      <c r="CF12" s="110"/>
      <c r="CG12" s="110" t="s">
        <v>19</v>
      </c>
      <c r="CH12" s="110"/>
      <c r="CI12" s="110" t="s">
        <v>115</v>
      </c>
      <c r="CJ12" s="110"/>
      <c r="CK12" s="110" t="s">
        <v>116</v>
      </c>
      <c r="CL12" s="110"/>
      <c r="CM12" s="110" t="s">
        <v>20</v>
      </c>
      <c r="CN12" s="110"/>
      <c r="CO12" s="110" t="s">
        <v>123</v>
      </c>
      <c r="CP12" s="110"/>
      <c r="CQ12" s="110" t="s">
        <v>124</v>
      </c>
      <c r="CR12" s="110"/>
      <c r="CS12" s="110" t="s">
        <v>125</v>
      </c>
      <c r="CT12" s="110"/>
      <c r="CU12" s="110" t="s">
        <v>249</v>
      </c>
      <c r="CV12" s="110"/>
      <c r="CW12" s="110" t="s">
        <v>21</v>
      </c>
      <c r="CX12" s="110"/>
      <c r="CY12" s="110" t="s">
        <v>145</v>
      </c>
      <c r="CZ12" s="110"/>
      <c r="DA12" s="110" t="s">
        <v>146</v>
      </c>
      <c r="DB12" s="110"/>
      <c r="DC12" s="110" t="s">
        <v>21</v>
      </c>
      <c r="DD12" s="110"/>
      <c r="DE12" s="110"/>
      <c r="DF12" s="110"/>
      <c r="DG12" s="111"/>
      <c r="DH12" s="111"/>
      <c r="DI12" s="118" t="s">
        <v>22</v>
      </c>
      <c r="DJ12" s="118"/>
      <c r="DK12" s="110" t="s">
        <v>147</v>
      </c>
      <c r="DL12" s="111"/>
      <c r="DM12" s="110" t="s">
        <v>148</v>
      </c>
      <c r="DN12" s="110"/>
      <c r="DO12" s="110" t="s">
        <v>149</v>
      </c>
      <c r="DP12" s="110"/>
      <c r="DQ12" s="110" t="s">
        <v>150</v>
      </c>
      <c r="DR12" s="110"/>
      <c r="DS12" s="110" t="s">
        <v>151</v>
      </c>
      <c r="DT12" s="110"/>
      <c r="DU12" s="110" t="s">
        <v>152</v>
      </c>
      <c r="DV12" s="110"/>
      <c r="DW12" s="110" t="s">
        <v>153</v>
      </c>
      <c r="DX12" s="110"/>
      <c r="DY12" s="110" t="s">
        <v>154</v>
      </c>
      <c r="DZ12" s="110"/>
      <c r="EA12" s="110" t="s">
        <v>155</v>
      </c>
      <c r="EB12" s="110"/>
      <c r="EC12" s="110" t="s">
        <v>156</v>
      </c>
      <c r="ED12" s="110"/>
      <c r="EE12" s="110" t="s">
        <v>176</v>
      </c>
      <c r="EF12" s="110"/>
      <c r="EG12" s="110" t="s">
        <v>23</v>
      </c>
      <c r="EH12" s="110"/>
      <c r="EI12" s="110" t="s">
        <v>157</v>
      </c>
      <c r="EJ12" s="110"/>
      <c r="EK12" s="110" t="s">
        <v>158</v>
      </c>
      <c r="EL12" s="110"/>
      <c r="EM12" s="110" t="s">
        <v>159</v>
      </c>
      <c r="EN12" s="110"/>
      <c r="EO12" s="110" t="s">
        <v>160</v>
      </c>
      <c r="EP12" s="110"/>
      <c r="EQ12" s="110" t="s">
        <v>161</v>
      </c>
      <c r="ER12" s="110"/>
      <c r="ES12" s="110" t="s">
        <v>162</v>
      </c>
      <c r="ET12" s="110"/>
      <c r="EU12" s="110" t="s">
        <v>163</v>
      </c>
      <c r="EV12" s="110"/>
      <c r="EW12" s="110" t="s">
        <v>238</v>
      </c>
      <c r="EX12" s="110"/>
      <c r="EY12" s="110" t="s">
        <v>241</v>
      </c>
      <c r="EZ12" s="110"/>
      <c r="FA12" s="111"/>
      <c r="FB12" s="111"/>
      <c r="FC12" s="110" t="s">
        <v>9</v>
      </c>
      <c r="FD12" s="110"/>
      <c r="FE12" s="110" t="s">
        <v>28</v>
      </c>
      <c r="FF12" s="110"/>
      <c r="FG12" s="110" t="s">
        <v>169</v>
      </c>
      <c r="FH12" s="110"/>
      <c r="FI12" s="110" t="s">
        <v>170</v>
      </c>
      <c r="FJ12" s="110"/>
      <c r="FK12" s="110" t="s">
        <v>171</v>
      </c>
      <c r="FL12" s="110"/>
      <c r="FM12" s="110" t="s">
        <v>172</v>
      </c>
      <c r="FN12" s="110"/>
      <c r="FO12" s="110" t="s">
        <v>173</v>
      </c>
      <c r="FP12" s="110"/>
      <c r="FQ12" s="110" t="s">
        <v>29</v>
      </c>
      <c r="FR12" s="110"/>
      <c r="FS12" s="110" t="s">
        <v>30</v>
      </c>
      <c r="FT12" s="110"/>
      <c r="FU12" s="110" t="s">
        <v>31</v>
      </c>
      <c r="FV12" s="110"/>
      <c r="FW12" s="110" t="s">
        <v>174</v>
      </c>
      <c r="FX12" s="110"/>
      <c r="FY12" s="110" t="s">
        <v>32</v>
      </c>
      <c r="FZ12" s="110"/>
      <c r="GA12" s="110" t="s">
        <v>243</v>
      </c>
      <c r="GB12" s="110"/>
      <c r="GC12" s="110" t="s">
        <v>11</v>
      </c>
      <c r="GD12" s="110"/>
      <c r="GE12" s="110" t="s">
        <v>176</v>
      </c>
      <c r="GF12" s="110"/>
      <c r="GG12" s="110" t="s">
        <v>177</v>
      </c>
      <c r="GH12" s="110"/>
      <c r="GI12" s="110" t="s">
        <v>178</v>
      </c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HB12" s="120"/>
      <c r="HC12" s="120"/>
    </row>
    <row r="13" spans="1:211" ht="15">
      <c r="A13" s="125"/>
      <c r="B13" s="125"/>
      <c r="C13" s="118" t="s">
        <v>33</v>
      </c>
      <c r="D13" s="118"/>
      <c r="E13" s="118" t="s">
        <v>34</v>
      </c>
      <c r="F13" s="118"/>
      <c r="G13" s="118" t="s">
        <v>35</v>
      </c>
      <c r="H13" s="118"/>
      <c r="I13" s="118" t="s">
        <v>67</v>
      </c>
      <c r="J13" s="118"/>
      <c r="K13" s="118" t="s">
        <v>68</v>
      </c>
      <c r="L13" s="118"/>
      <c r="M13" s="118" t="s">
        <v>36</v>
      </c>
      <c r="N13" s="118"/>
      <c r="O13" s="118" t="s">
        <v>69</v>
      </c>
      <c r="P13" s="118"/>
      <c r="Q13" s="118" t="s">
        <v>70</v>
      </c>
      <c r="R13" s="118"/>
      <c r="S13" s="118" t="s">
        <v>37</v>
      </c>
      <c r="T13" s="118"/>
      <c r="U13" s="118" t="s">
        <v>71</v>
      </c>
      <c r="V13" s="118"/>
      <c r="W13" s="118" t="s">
        <v>72</v>
      </c>
      <c r="X13" s="118"/>
      <c r="Y13" s="118" t="s">
        <v>73</v>
      </c>
      <c r="Z13" s="118"/>
      <c r="AA13" s="118" t="s">
        <v>74</v>
      </c>
      <c r="AB13" s="118"/>
      <c r="AC13" s="118" t="s">
        <v>75</v>
      </c>
      <c r="AD13" s="118"/>
      <c r="AE13" s="118" t="s">
        <v>76</v>
      </c>
      <c r="AF13" s="118"/>
      <c r="AG13" s="118" t="s">
        <v>38</v>
      </c>
      <c r="AH13" s="118"/>
      <c r="AI13" s="118" t="s">
        <v>77</v>
      </c>
      <c r="AJ13" s="118"/>
      <c r="AK13" s="118" t="s">
        <v>78</v>
      </c>
      <c r="AL13" s="118"/>
      <c r="AM13" s="118" t="s">
        <v>39</v>
      </c>
      <c r="AN13" s="118"/>
      <c r="AO13" s="118" t="s">
        <v>79</v>
      </c>
      <c r="AP13" s="118"/>
      <c r="AQ13" s="118" t="s">
        <v>80</v>
      </c>
      <c r="AR13" s="118"/>
      <c r="AS13" s="118" t="s">
        <v>81</v>
      </c>
      <c r="AT13" s="118"/>
      <c r="AU13" s="118" t="s">
        <v>82</v>
      </c>
      <c r="AV13" s="118"/>
      <c r="AW13" s="118" t="s">
        <v>40</v>
      </c>
      <c r="AX13" s="118"/>
      <c r="AY13" s="118" t="s">
        <v>41</v>
      </c>
      <c r="AZ13" s="118"/>
      <c r="BA13" s="118" t="s">
        <v>83</v>
      </c>
      <c r="BB13" s="118"/>
      <c r="BC13" s="118" t="s">
        <v>84</v>
      </c>
      <c r="BD13" s="118"/>
      <c r="BE13" s="118" t="s">
        <v>85</v>
      </c>
      <c r="BF13" s="118"/>
      <c r="BG13" s="118" t="s">
        <v>86</v>
      </c>
      <c r="BH13" s="118"/>
      <c r="BI13" s="118" t="s">
        <v>87</v>
      </c>
      <c r="BJ13" s="118"/>
      <c r="BK13" s="118" t="s">
        <v>42</v>
      </c>
      <c r="BL13" s="118"/>
      <c r="BM13" s="118" t="s">
        <v>43</v>
      </c>
      <c r="BN13" s="118"/>
      <c r="BO13" s="118" t="s">
        <v>88</v>
      </c>
      <c r="BP13" s="118"/>
      <c r="BQ13" s="118" t="s">
        <v>89</v>
      </c>
      <c r="BR13" s="118"/>
      <c r="BS13" s="118" t="s">
        <v>44</v>
      </c>
      <c r="BT13" s="118"/>
      <c r="BU13" s="118" t="s">
        <v>90</v>
      </c>
      <c r="BV13" s="118"/>
      <c r="BW13" s="118" t="s">
        <v>91</v>
      </c>
      <c r="BX13" s="118"/>
      <c r="BY13" s="118" t="s">
        <v>45</v>
      </c>
      <c r="BZ13" s="118"/>
      <c r="CA13" s="118" t="s">
        <v>92</v>
      </c>
      <c r="CB13" s="118"/>
      <c r="CC13" s="118" t="s">
        <v>93</v>
      </c>
      <c r="CD13" s="118"/>
      <c r="CE13" s="118" t="s">
        <v>46</v>
      </c>
      <c r="CF13" s="118"/>
      <c r="CG13" s="118" t="s">
        <v>47</v>
      </c>
      <c r="CH13" s="118"/>
      <c r="CI13" s="118" t="s">
        <v>117</v>
      </c>
      <c r="CJ13" s="118"/>
      <c r="CK13" s="118" t="s">
        <v>118</v>
      </c>
      <c r="CL13" s="118"/>
      <c r="CM13" s="118" t="s">
        <v>48</v>
      </c>
      <c r="CN13" s="118"/>
      <c r="CO13" s="118" t="s">
        <v>119</v>
      </c>
      <c r="CP13" s="118"/>
      <c r="CQ13" s="118" t="s">
        <v>120</v>
      </c>
      <c r="CR13" s="118"/>
      <c r="CS13" s="118" t="s">
        <v>121</v>
      </c>
      <c r="CT13" s="118"/>
      <c r="CU13" s="118" t="s">
        <v>122</v>
      </c>
      <c r="CV13" s="118"/>
      <c r="CW13" s="118" t="s">
        <v>49</v>
      </c>
      <c r="CX13" s="118"/>
      <c r="CY13" s="118" t="s">
        <v>126</v>
      </c>
      <c r="CZ13" s="118"/>
      <c r="DA13" s="118" t="s">
        <v>127</v>
      </c>
      <c r="DB13" s="118"/>
      <c r="DC13" s="118" t="s">
        <v>128</v>
      </c>
      <c r="DD13" s="118"/>
      <c r="DE13" s="118" t="s">
        <v>50</v>
      </c>
      <c r="DF13" s="118"/>
      <c r="DG13" s="118" t="s">
        <v>51</v>
      </c>
      <c r="DH13" s="118"/>
      <c r="DI13" s="118" t="s">
        <v>52</v>
      </c>
      <c r="DJ13" s="118"/>
      <c r="DK13" s="118" t="s">
        <v>129</v>
      </c>
      <c r="DL13" s="118"/>
      <c r="DM13" s="118" t="s">
        <v>130</v>
      </c>
      <c r="DN13" s="118"/>
      <c r="DO13" s="118" t="s">
        <v>131</v>
      </c>
      <c r="DP13" s="118"/>
      <c r="DQ13" s="118" t="s">
        <v>132</v>
      </c>
      <c r="DR13" s="118"/>
      <c r="DS13" s="118" t="s">
        <v>133</v>
      </c>
      <c r="DT13" s="118"/>
      <c r="DU13" s="118" t="s">
        <v>134</v>
      </c>
      <c r="DV13" s="118"/>
      <c r="DW13" s="118" t="s">
        <v>135</v>
      </c>
      <c r="DX13" s="118"/>
      <c r="DY13" s="118" t="s">
        <v>136</v>
      </c>
      <c r="DZ13" s="118"/>
      <c r="EA13" s="118" t="s">
        <v>137</v>
      </c>
      <c r="EB13" s="118"/>
      <c r="EC13" s="118" t="s">
        <v>138</v>
      </c>
      <c r="ED13" s="118"/>
      <c r="EE13" s="118" t="s">
        <v>53</v>
      </c>
      <c r="EF13" s="118"/>
      <c r="EG13" s="118" t="s">
        <v>54</v>
      </c>
      <c r="EH13" s="118"/>
      <c r="EI13" s="118" t="s">
        <v>139</v>
      </c>
      <c r="EJ13" s="118"/>
      <c r="EK13" s="118" t="s">
        <v>140</v>
      </c>
      <c r="EL13" s="118"/>
      <c r="EM13" s="118" t="s">
        <v>141</v>
      </c>
      <c r="EN13" s="118"/>
      <c r="EO13" s="118" t="s">
        <v>142</v>
      </c>
      <c r="EP13" s="118"/>
      <c r="EQ13" s="118" t="s">
        <v>143</v>
      </c>
      <c r="ER13" s="118"/>
      <c r="ES13" s="118" t="s">
        <v>55</v>
      </c>
      <c r="ET13" s="118"/>
      <c r="EU13" s="118" t="s">
        <v>144</v>
      </c>
      <c r="EV13" s="118"/>
      <c r="EW13" s="118" t="s">
        <v>239</v>
      </c>
      <c r="EX13" s="118"/>
      <c r="EY13" s="118" t="s">
        <v>240</v>
      </c>
      <c r="EZ13" s="118"/>
      <c r="FA13" s="130" t="s">
        <v>56</v>
      </c>
      <c r="FB13" s="130"/>
      <c r="FC13" s="118" t="s">
        <v>57</v>
      </c>
      <c r="FD13" s="118"/>
      <c r="FE13" s="118" t="s">
        <v>58</v>
      </c>
      <c r="FF13" s="118"/>
      <c r="FG13" s="118" t="s">
        <v>164</v>
      </c>
      <c r="FH13" s="118"/>
      <c r="FI13" s="118" t="s">
        <v>165</v>
      </c>
      <c r="FJ13" s="118"/>
      <c r="FK13" s="118" t="s">
        <v>166</v>
      </c>
      <c r="FL13" s="118"/>
      <c r="FM13" s="118" t="s">
        <v>167</v>
      </c>
      <c r="FN13" s="118"/>
      <c r="FO13" s="118" t="s">
        <v>168</v>
      </c>
      <c r="FP13" s="118"/>
      <c r="FQ13" s="118" t="s">
        <v>59</v>
      </c>
      <c r="FR13" s="118"/>
      <c r="FS13" s="118" t="s">
        <v>60</v>
      </c>
      <c r="FT13" s="118"/>
      <c r="FU13" s="118" t="s">
        <v>61</v>
      </c>
      <c r="FV13" s="118"/>
      <c r="FW13" s="118" t="s">
        <v>175</v>
      </c>
      <c r="FX13" s="118"/>
      <c r="FY13" s="118" t="s">
        <v>62</v>
      </c>
      <c r="FZ13" s="118"/>
      <c r="GA13" s="118" t="s">
        <v>242</v>
      </c>
      <c r="GB13" s="118"/>
      <c r="GC13" s="118" t="s">
        <v>63</v>
      </c>
      <c r="GD13" s="118"/>
      <c r="GE13" s="118" t="s">
        <v>179</v>
      </c>
      <c r="GF13" s="118"/>
      <c r="GG13" s="118" t="s">
        <v>180</v>
      </c>
      <c r="GH13" s="118"/>
      <c r="GI13" s="118" t="s">
        <v>181</v>
      </c>
      <c r="GJ13" s="118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HB13" s="120"/>
      <c r="HC13" s="120"/>
    </row>
    <row r="14" spans="1:211" ht="26.25" customHeight="1">
      <c r="A14" s="126"/>
      <c r="B14" s="126"/>
      <c r="C14" s="18" t="s">
        <v>246</v>
      </c>
      <c r="D14" s="18" t="s">
        <v>247</v>
      </c>
      <c r="E14" s="18" t="s">
        <v>246</v>
      </c>
      <c r="F14" s="18" t="s">
        <v>247</v>
      </c>
      <c r="G14" s="18" t="s">
        <v>246</v>
      </c>
      <c r="H14" s="18" t="s">
        <v>247</v>
      </c>
      <c r="I14" s="18" t="s">
        <v>246</v>
      </c>
      <c r="J14" s="18" t="s">
        <v>247</v>
      </c>
      <c r="K14" s="18" t="s">
        <v>246</v>
      </c>
      <c r="L14" s="18" t="s">
        <v>247</v>
      </c>
      <c r="M14" s="18" t="s">
        <v>246</v>
      </c>
      <c r="N14" s="18" t="s">
        <v>247</v>
      </c>
      <c r="O14" s="18" t="s">
        <v>246</v>
      </c>
      <c r="P14" s="18" t="s">
        <v>247</v>
      </c>
      <c r="Q14" s="18" t="s">
        <v>246</v>
      </c>
      <c r="R14" s="18" t="s">
        <v>247</v>
      </c>
      <c r="S14" s="82" t="s">
        <v>246</v>
      </c>
      <c r="T14" s="82" t="s">
        <v>247</v>
      </c>
      <c r="U14" s="82" t="s">
        <v>246</v>
      </c>
      <c r="V14" s="82" t="s">
        <v>247</v>
      </c>
      <c r="W14" s="82" t="s">
        <v>246</v>
      </c>
      <c r="X14" s="82" t="s">
        <v>247</v>
      </c>
      <c r="Y14" s="82" t="s">
        <v>246</v>
      </c>
      <c r="Z14" s="82" t="s">
        <v>247</v>
      </c>
      <c r="AA14" s="82" t="s">
        <v>246</v>
      </c>
      <c r="AB14" s="82" t="s">
        <v>247</v>
      </c>
      <c r="AC14" s="82" t="s">
        <v>246</v>
      </c>
      <c r="AD14" s="82" t="s">
        <v>247</v>
      </c>
      <c r="AE14" s="82" t="s">
        <v>246</v>
      </c>
      <c r="AF14" s="82" t="s">
        <v>247</v>
      </c>
      <c r="AG14" s="82" t="s">
        <v>246</v>
      </c>
      <c r="AH14" s="82" t="s">
        <v>247</v>
      </c>
      <c r="AI14" s="82" t="s">
        <v>246</v>
      </c>
      <c r="AJ14" s="82" t="s">
        <v>247</v>
      </c>
      <c r="AK14" s="82" t="s">
        <v>246</v>
      </c>
      <c r="AL14" s="82" t="s">
        <v>247</v>
      </c>
      <c r="AM14" s="82" t="s">
        <v>246</v>
      </c>
      <c r="AN14" s="82" t="s">
        <v>247</v>
      </c>
      <c r="AO14" s="82" t="s">
        <v>246</v>
      </c>
      <c r="AP14" s="82" t="s">
        <v>247</v>
      </c>
      <c r="AQ14" s="82" t="s">
        <v>246</v>
      </c>
      <c r="AR14" s="82" t="s">
        <v>247</v>
      </c>
      <c r="AS14" s="82" t="s">
        <v>246</v>
      </c>
      <c r="AT14" s="82" t="s">
        <v>247</v>
      </c>
      <c r="AU14" s="82" t="s">
        <v>246</v>
      </c>
      <c r="AV14" s="82" t="s">
        <v>247</v>
      </c>
      <c r="AW14" s="82" t="s">
        <v>246</v>
      </c>
      <c r="AX14" s="82" t="s">
        <v>247</v>
      </c>
      <c r="AY14" s="82" t="s">
        <v>246</v>
      </c>
      <c r="AZ14" s="82" t="s">
        <v>247</v>
      </c>
      <c r="BA14" s="82" t="s">
        <v>246</v>
      </c>
      <c r="BB14" s="82" t="s">
        <v>247</v>
      </c>
      <c r="BC14" s="82" t="s">
        <v>246</v>
      </c>
      <c r="BD14" s="82" t="s">
        <v>247</v>
      </c>
      <c r="BE14" s="82" t="s">
        <v>246</v>
      </c>
      <c r="BF14" s="82" t="s">
        <v>247</v>
      </c>
      <c r="BG14" s="82" t="s">
        <v>246</v>
      </c>
      <c r="BH14" s="82" t="s">
        <v>247</v>
      </c>
      <c r="BI14" s="82" t="s">
        <v>246</v>
      </c>
      <c r="BJ14" s="82" t="s">
        <v>247</v>
      </c>
      <c r="BK14" s="82" t="s">
        <v>246</v>
      </c>
      <c r="BL14" s="82" t="s">
        <v>247</v>
      </c>
      <c r="BM14" s="82" t="s">
        <v>246</v>
      </c>
      <c r="BN14" s="82" t="s">
        <v>247</v>
      </c>
      <c r="BO14" s="82" t="s">
        <v>246</v>
      </c>
      <c r="BP14" s="82" t="s">
        <v>247</v>
      </c>
      <c r="BQ14" s="82" t="s">
        <v>246</v>
      </c>
      <c r="BR14" s="82" t="s">
        <v>247</v>
      </c>
      <c r="BS14" s="82" t="s">
        <v>246</v>
      </c>
      <c r="BT14" s="82" t="s">
        <v>247</v>
      </c>
      <c r="BU14" s="82" t="s">
        <v>246</v>
      </c>
      <c r="BV14" s="82" t="s">
        <v>247</v>
      </c>
      <c r="BW14" s="82" t="s">
        <v>246</v>
      </c>
      <c r="BX14" s="82" t="s">
        <v>247</v>
      </c>
      <c r="BY14" s="82" t="s">
        <v>246</v>
      </c>
      <c r="BZ14" s="82" t="s">
        <v>247</v>
      </c>
      <c r="CA14" s="82" t="s">
        <v>246</v>
      </c>
      <c r="CB14" s="82" t="s">
        <v>247</v>
      </c>
      <c r="CC14" s="82" t="s">
        <v>246</v>
      </c>
      <c r="CD14" s="82" t="s">
        <v>247</v>
      </c>
      <c r="CE14" s="82" t="s">
        <v>246</v>
      </c>
      <c r="CF14" s="82" t="s">
        <v>247</v>
      </c>
      <c r="CG14" s="82" t="s">
        <v>246</v>
      </c>
      <c r="CH14" s="82" t="s">
        <v>247</v>
      </c>
      <c r="CI14" s="82" t="s">
        <v>246</v>
      </c>
      <c r="CJ14" s="82" t="s">
        <v>247</v>
      </c>
      <c r="CK14" s="82" t="s">
        <v>246</v>
      </c>
      <c r="CL14" s="82" t="s">
        <v>247</v>
      </c>
      <c r="CM14" s="82" t="s">
        <v>246</v>
      </c>
      <c r="CN14" s="82" t="s">
        <v>247</v>
      </c>
      <c r="CO14" s="82" t="s">
        <v>246</v>
      </c>
      <c r="CP14" s="82" t="s">
        <v>247</v>
      </c>
      <c r="CQ14" s="82" t="s">
        <v>246</v>
      </c>
      <c r="CR14" s="82" t="s">
        <v>247</v>
      </c>
      <c r="CS14" s="82" t="s">
        <v>246</v>
      </c>
      <c r="CT14" s="82" t="s">
        <v>247</v>
      </c>
      <c r="CU14" s="82" t="s">
        <v>246</v>
      </c>
      <c r="CV14" s="82" t="s">
        <v>247</v>
      </c>
      <c r="CW14" s="82" t="s">
        <v>246</v>
      </c>
      <c r="CX14" s="82" t="s">
        <v>247</v>
      </c>
      <c r="CY14" s="82" t="s">
        <v>246</v>
      </c>
      <c r="CZ14" s="82" t="s">
        <v>247</v>
      </c>
      <c r="DA14" s="82" t="s">
        <v>246</v>
      </c>
      <c r="DB14" s="82" t="s">
        <v>247</v>
      </c>
      <c r="DC14" s="82" t="s">
        <v>246</v>
      </c>
      <c r="DD14" s="82" t="s">
        <v>247</v>
      </c>
      <c r="DE14" s="82" t="s">
        <v>246</v>
      </c>
      <c r="DF14" s="82" t="s">
        <v>247</v>
      </c>
      <c r="DG14" s="82" t="s">
        <v>246</v>
      </c>
      <c r="DH14" s="82" t="s">
        <v>247</v>
      </c>
      <c r="DI14" s="82" t="s">
        <v>246</v>
      </c>
      <c r="DJ14" s="82" t="s">
        <v>247</v>
      </c>
      <c r="DK14" s="82" t="s">
        <v>246</v>
      </c>
      <c r="DL14" s="82" t="s">
        <v>247</v>
      </c>
      <c r="DM14" s="82" t="s">
        <v>246</v>
      </c>
      <c r="DN14" s="82" t="s">
        <v>247</v>
      </c>
      <c r="DO14" s="82" t="s">
        <v>246</v>
      </c>
      <c r="DP14" s="82" t="s">
        <v>247</v>
      </c>
      <c r="DQ14" s="82" t="s">
        <v>246</v>
      </c>
      <c r="DR14" s="82" t="s">
        <v>247</v>
      </c>
      <c r="DS14" s="82" t="s">
        <v>246</v>
      </c>
      <c r="DT14" s="82" t="s">
        <v>247</v>
      </c>
      <c r="DU14" s="82" t="s">
        <v>246</v>
      </c>
      <c r="DV14" s="82" t="s">
        <v>247</v>
      </c>
      <c r="DW14" s="82" t="s">
        <v>246</v>
      </c>
      <c r="DX14" s="82" t="s">
        <v>247</v>
      </c>
      <c r="DY14" s="82" t="s">
        <v>246</v>
      </c>
      <c r="DZ14" s="82" t="s">
        <v>247</v>
      </c>
      <c r="EA14" s="82" t="s">
        <v>246</v>
      </c>
      <c r="EB14" s="82" t="s">
        <v>247</v>
      </c>
      <c r="EC14" s="82" t="s">
        <v>246</v>
      </c>
      <c r="ED14" s="82" t="s">
        <v>247</v>
      </c>
      <c r="EE14" s="82" t="s">
        <v>246</v>
      </c>
      <c r="EF14" s="82" t="s">
        <v>247</v>
      </c>
      <c r="EG14" s="82" t="s">
        <v>246</v>
      </c>
      <c r="EH14" s="82" t="s">
        <v>247</v>
      </c>
      <c r="EI14" s="82" t="s">
        <v>246</v>
      </c>
      <c r="EJ14" s="82" t="s">
        <v>247</v>
      </c>
      <c r="EK14" s="82" t="s">
        <v>246</v>
      </c>
      <c r="EL14" s="82" t="s">
        <v>247</v>
      </c>
      <c r="EM14" s="82" t="s">
        <v>246</v>
      </c>
      <c r="EN14" s="82" t="s">
        <v>247</v>
      </c>
      <c r="EO14" s="82" t="s">
        <v>246</v>
      </c>
      <c r="EP14" s="82" t="s">
        <v>247</v>
      </c>
      <c r="EQ14" s="82" t="s">
        <v>246</v>
      </c>
      <c r="ER14" s="82" t="s">
        <v>247</v>
      </c>
      <c r="ES14" s="82" t="s">
        <v>246</v>
      </c>
      <c r="ET14" s="82" t="s">
        <v>247</v>
      </c>
      <c r="EU14" s="82" t="s">
        <v>246</v>
      </c>
      <c r="EV14" s="82" t="s">
        <v>247</v>
      </c>
      <c r="EW14" s="82" t="s">
        <v>246</v>
      </c>
      <c r="EX14" s="82" t="s">
        <v>247</v>
      </c>
      <c r="EY14" s="82" t="s">
        <v>246</v>
      </c>
      <c r="EZ14" s="82" t="s">
        <v>247</v>
      </c>
      <c r="FA14" s="82" t="s">
        <v>246</v>
      </c>
      <c r="FB14" s="82" t="s">
        <v>247</v>
      </c>
      <c r="FC14" s="82" t="s">
        <v>246</v>
      </c>
      <c r="FD14" s="82" t="s">
        <v>247</v>
      </c>
      <c r="FE14" s="82" t="s">
        <v>246</v>
      </c>
      <c r="FF14" s="82" t="s">
        <v>247</v>
      </c>
      <c r="FG14" s="82" t="s">
        <v>246</v>
      </c>
      <c r="FH14" s="82" t="s">
        <v>247</v>
      </c>
      <c r="FI14" s="82" t="s">
        <v>246</v>
      </c>
      <c r="FJ14" s="82" t="s">
        <v>247</v>
      </c>
      <c r="FK14" s="82" t="s">
        <v>246</v>
      </c>
      <c r="FL14" s="82" t="s">
        <v>247</v>
      </c>
      <c r="FM14" s="82" t="s">
        <v>246</v>
      </c>
      <c r="FN14" s="82" t="s">
        <v>247</v>
      </c>
      <c r="FO14" s="82" t="s">
        <v>246</v>
      </c>
      <c r="FP14" s="82" t="s">
        <v>247</v>
      </c>
      <c r="FQ14" s="82" t="s">
        <v>246</v>
      </c>
      <c r="FR14" s="82" t="s">
        <v>247</v>
      </c>
      <c r="FS14" s="82" t="s">
        <v>246</v>
      </c>
      <c r="FT14" s="82" t="s">
        <v>247</v>
      </c>
      <c r="FU14" s="82" t="s">
        <v>246</v>
      </c>
      <c r="FV14" s="82" t="s">
        <v>247</v>
      </c>
      <c r="FW14" s="82" t="s">
        <v>246</v>
      </c>
      <c r="FX14" s="82" t="s">
        <v>247</v>
      </c>
      <c r="FY14" s="82" t="s">
        <v>246</v>
      </c>
      <c r="FZ14" s="82" t="s">
        <v>247</v>
      </c>
      <c r="GA14" s="82" t="s">
        <v>246</v>
      </c>
      <c r="GB14" s="82" t="s">
        <v>247</v>
      </c>
      <c r="GC14" s="82" t="s">
        <v>246</v>
      </c>
      <c r="GD14" s="82" t="s">
        <v>247</v>
      </c>
      <c r="GE14" s="82" t="s">
        <v>246</v>
      </c>
      <c r="GF14" s="82" t="s">
        <v>247</v>
      </c>
      <c r="GG14" s="82" t="s">
        <v>246</v>
      </c>
      <c r="GH14" s="82" t="s">
        <v>247</v>
      </c>
      <c r="GI14" s="82" t="s">
        <v>246</v>
      </c>
      <c r="GJ14" s="82" t="s">
        <v>247</v>
      </c>
      <c r="GK14" s="82" t="s">
        <v>246</v>
      </c>
      <c r="GL14" s="82" t="s">
        <v>247</v>
      </c>
      <c r="GM14" s="82" t="s">
        <v>246</v>
      </c>
      <c r="GN14" s="82" t="s">
        <v>247</v>
      </c>
      <c r="GO14" s="82" t="s">
        <v>246</v>
      </c>
      <c r="GP14" s="82" t="s">
        <v>247</v>
      </c>
      <c r="GQ14" s="82" t="s">
        <v>246</v>
      </c>
      <c r="GR14" s="82" t="s">
        <v>247</v>
      </c>
      <c r="GS14" s="82" t="s">
        <v>246</v>
      </c>
      <c r="GT14" s="82" t="s">
        <v>247</v>
      </c>
      <c r="GU14" s="82" t="s">
        <v>246</v>
      </c>
      <c r="GV14" s="82" t="s">
        <v>247</v>
      </c>
      <c r="HB14" s="18" t="s">
        <v>246</v>
      </c>
      <c r="HC14" s="18" t="s">
        <v>247</v>
      </c>
    </row>
    <row r="15" spans="1:211" s="51" customFormat="1" ht="16.5" customHeight="1">
      <c r="A15" s="83"/>
      <c r="B15" s="73" t="s">
        <v>64</v>
      </c>
      <c r="C15" s="50">
        <f>E15+AW15</f>
        <v>80263413.815505</v>
      </c>
      <c r="D15" s="50">
        <f>F15+AX15</f>
        <v>75952129.525132</v>
      </c>
      <c r="E15" s="50">
        <f>G15+M15+S15+AG15+AM15</f>
        <v>34750353.395084</v>
      </c>
      <c r="F15" s="50">
        <f>H15+N15+T15+AH15+AN15</f>
        <v>35623338.498414</v>
      </c>
      <c r="G15" s="50">
        <f>SUM(I15+K15)</f>
        <v>7677234.255609999</v>
      </c>
      <c r="H15" s="50">
        <f>SUM(J15+L15)</f>
        <v>8254327.0611310005</v>
      </c>
      <c r="I15" s="50">
        <f>I16+I34</f>
        <v>3058417.28161</v>
      </c>
      <c r="J15" s="50">
        <f>J16+J34</f>
        <v>3132060.061131</v>
      </c>
      <c r="K15" s="50">
        <f>K16+K34</f>
        <v>4618816.973999999</v>
      </c>
      <c r="L15" s="50">
        <f>L16+L34</f>
        <v>5122267</v>
      </c>
      <c r="M15" s="50">
        <f>SUM(O15+Q15)</f>
        <v>7560208.598</v>
      </c>
      <c r="N15" s="50">
        <f>P15+R15</f>
        <v>6321373.405</v>
      </c>
      <c r="O15" s="50">
        <f>O16+O34</f>
        <v>7570955.598</v>
      </c>
      <c r="P15" s="50">
        <f>P16+P34</f>
        <v>6337123.405</v>
      </c>
      <c r="Q15" s="74">
        <f>Q16+Q34</f>
        <v>-10747</v>
      </c>
      <c r="R15" s="74">
        <f>R16+R34</f>
        <v>-15750</v>
      </c>
      <c r="S15" s="75">
        <f>SUM(U15+W15+Y15+AA15+AC15+AE15)</f>
        <v>7985796.181163</v>
      </c>
      <c r="T15" s="75">
        <f>SUM(V15+X15+Z15+AB15+AD15+AF15)</f>
        <v>7438574.492831</v>
      </c>
      <c r="U15" s="75">
        <f aca="true" t="shared" si="0" ref="U15:AF15">U16+U34</f>
        <v>3771123.1156629995</v>
      </c>
      <c r="V15" s="75">
        <f t="shared" si="0"/>
        <v>3494258.246632</v>
      </c>
      <c r="W15" s="75">
        <f t="shared" si="0"/>
        <v>1265181.886151</v>
      </c>
      <c r="X15" s="75">
        <f t="shared" si="0"/>
        <v>1317674.4734089999</v>
      </c>
      <c r="Y15" s="75">
        <f t="shared" si="0"/>
        <v>9041.238</v>
      </c>
      <c r="Z15" s="75">
        <f t="shared" si="0"/>
        <v>684</v>
      </c>
      <c r="AA15" s="75">
        <f t="shared" si="0"/>
        <v>66167</v>
      </c>
      <c r="AB15" s="75">
        <f t="shared" si="0"/>
        <v>80063</v>
      </c>
      <c r="AC15" s="75">
        <f t="shared" si="0"/>
        <v>3320272.2984609995</v>
      </c>
      <c r="AD15" s="75">
        <f t="shared" si="0"/>
        <v>2945277.8727900004</v>
      </c>
      <c r="AE15" s="76">
        <f t="shared" si="0"/>
        <v>-445989.357112</v>
      </c>
      <c r="AF15" s="76">
        <f t="shared" si="0"/>
        <v>-399383.1</v>
      </c>
      <c r="AG15" s="75">
        <f>SUM(AI15+AK15)</f>
        <v>10482933.807404</v>
      </c>
      <c r="AH15" s="75">
        <f>SUM(AJ15+AL15)</f>
        <v>12636572.815659</v>
      </c>
      <c r="AI15" s="75">
        <f>AI16+AI34</f>
        <v>10506235.807404</v>
      </c>
      <c r="AJ15" s="75">
        <f>AJ16+AJ34</f>
        <v>12668302.815659</v>
      </c>
      <c r="AK15" s="76">
        <f>AK16+AK34</f>
        <v>-23302</v>
      </c>
      <c r="AL15" s="76">
        <f>AL16+AL34</f>
        <v>-31730</v>
      </c>
      <c r="AM15" s="75">
        <f>SUM(AO15+AQ15+AS15+AU15)</f>
        <v>1044180.5529070001</v>
      </c>
      <c r="AN15" s="75">
        <f>SUM(AP15+AR15+AT15+AV15)</f>
        <v>972490.723793</v>
      </c>
      <c r="AO15" s="75">
        <f aca="true" t="shared" si="1" ref="AO15:AV15">AO16+AO34</f>
        <v>69311.496662</v>
      </c>
      <c r="AP15" s="75">
        <f t="shared" si="1"/>
        <v>57867.666736</v>
      </c>
      <c r="AQ15" s="75">
        <f t="shared" si="1"/>
        <v>326662.394191</v>
      </c>
      <c r="AR15" s="75">
        <f t="shared" si="1"/>
        <v>374249.421</v>
      </c>
      <c r="AS15" s="75">
        <f t="shared" si="1"/>
        <v>129889.74539</v>
      </c>
      <c r="AT15" s="75">
        <f t="shared" si="1"/>
        <v>46975.721</v>
      </c>
      <c r="AU15" s="75">
        <f t="shared" si="1"/>
        <v>518316.91666399996</v>
      </c>
      <c r="AV15" s="75">
        <f t="shared" si="1"/>
        <v>493397.91505699995</v>
      </c>
      <c r="AW15" s="77">
        <f aca="true" t="shared" si="2" ref="AW15:AX28">AY15+BK15+CG15+CM15+CW15</f>
        <v>45513060.42042099</v>
      </c>
      <c r="AX15" s="77">
        <f t="shared" si="2"/>
        <v>40328791.026718</v>
      </c>
      <c r="AY15" s="78">
        <f>SUM(BA15,BC15,BE15,BG15,BI15)</f>
        <v>4849613.8203</v>
      </c>
      <c r="AZ15" s="78">
        <f>SUM(BB15,BD15,BF15,BH15,BJ15)</f>
        <v>5136062.9902</v>
      </c>
      <c r="BA15" s="75">
        <f aca="true" t="shared" si="3" ref="BA15:BJ15">BA16+BA34</f>
        <v>4511760.494</v>
      </c>
      <c r="BB15" s="75">
        <f t="shared" si="3"/>
        <v>4804325.3229</v>
      </c>
      <c r="BC15" s="75">
        <f t="shared" si="3"/>
        <v>69.749</v>
      </c>
      <c r="BD15" s="75">
        <f t="shared" si="3"/>
        <v>0</v>
      </c>
      <c r="BE15" s="75">
        <f t="shared" si="3"/>
        <v>2779</v>
      </c>
      <c r="BF15" s="75">
        <f t="shared" si="3"/>
        <v>2779</v>
      </c>
      <c r="BG15" s="75">
        <f t="shared" si="3"/>
        <v>474042.895</v>
      </c>
      <c r="BH15" s="75">
        <f t="shared" si="3"/>
        <v>541962.985</v>
      </c>
      <c r="BI15" s="76">
        <f t="shared" si="3"/>
        <v>-139038.3177</v>
      </c>
      <c r="BJ15" s="76">
        <f t="shared" si="3"/>
        <v>-213004.3177</v>
      </c>
      <c r="BK15" s="75">
        <f aca="true" t="shared" si="4" ref="BK15:BL26">BM15+BS15+BY15+CE15</f>
        <v>17254718.439117</v>
      </c>
      <c r="BL15" s="75">
        <f t="shared" si="4"/>
        <v>15803500.363625001</v>
      </c>
      <c r="BM15" s="75">
        <f>BO15+BQ15</f>
        <v>8022356.913511001</v>
      </c>
      <c r="BN15" s="75">
        <f>BP15+BR15</f>
        <v>7569366.806965001</v>
      </c>
      <c r="BO15" s="75">
        <f>BO16+BO34</f>
        <v>16411483.514085</v>
      </c>
      <c r="BP15" s="75">
        <f>BP16+BP34</f>
        <v>14920868.038211001</v>
      </c>
      <c r="BQ15" s="76">
        <f>BQ16+BQ34</f>
        <v>-8389126.600574</v>
      </c>
      <c r="BR15" s="76">
        <f>BR16+BR34</f>
        <v>-7351501.231246</v>
      </c>
      <c r="BS15" s="75">
        <f>BU15+BW15</f>
        <v>1745</v>
      </c>
      <c r="BT15" s="75">
        <f>BV15+BX15</f>
        <v>1994</v>
      </c>
      <c r="BU15" s="75">
        <f>BU16+BU34</f>
        <v>2493</v>
      </c>
      <c r="BV15" s="75">
        <f>BV16+BV34</f>
        <v>2493</v>
      </c>
      <c r="BW15" s="79">
        <f>BW16+BW34</f>
        <v>-748</v>
      </c>
      <c r="BX15" s="79">
        <f>BX16+BX34</f>
        <v>-499</v>
      </c>
      <c r="BY15" s="75">
        <f>CA15+CC15</f>
        <v>720204.8202800001</v>
      </c>
      <c r="BZ15" s="75">
        <f>CB15+CD15</f>
        <v>746067.6764219999</v>
      </c>
      <c r="CA15" s="75">
        <f aca="true" t="shared" si="5" ref="CA15:CF15">CA16+CA34</f>
        <v>1051745.130454</v>
      </c>
      <c r="CB15" s="75">
        <f t="shared" si="5"/>
        <v>1069179.995254</v>
      </c>
      <c r="CC15" s="79">
        <f t="shared" si="5"/>
        <v>-331540.310174</v>
      </c>
      <c r="CD15" s="79">
        <f t="shared" si="5"/>
        <v>-323112.31883199996</v>
      </c>
      <c r="CE15" s="75">
        <f t="shared" si="5"/>
        <v>8510411.705326</v>
      </c>
      <c r="CF15" s="75">
        <f t="shared" si="5"/>
        <v>7486071.880238</v>
      </c>
      <c r="CG15" s="75">
        <f>CI15+CK15</f>
        <v>1787031.1686</v>
      </c>
      <c r="CH15" s="75">
        <f>CJ15+CL15</f>
        <v>1265386.07198</v>
      </c>
      <c r="CI15" s="75">
        <f>CI16+CI34</f>
        <v>2331165.6796</v>
      </c>
      <c r="CJ15" s="75">
        <f>CJ16+CJ34</f>
        <v>1770151.97198</v>
      </c>
      <c r="CK15" s="76">
        <f>CK16+CK34</f>
        <v>-544134.5109999999</v>
      </c>
      <c r="CL15" s="76">
        <f>CL16+CL34</f>
        <v>-504765.9</v>
      </c>
      <c r="CM15" s="75">
        <f>CO15+CQ15+CS15+CU15</f>
        <v>20669067.8637</v>
      </c>
      <c r="CN15" s="75">
        <f>CP15+CR15+CT15+CV15</f>
        <v>17220163.1267</v>
      </c>
      <c r="CO15" s="75">
        <f aca="true" t="shared" si="6" ref="CO15:CV15">CO16+CO34</f>
        <v>9309988.297</v>
      </c>
      <c r="CP15" s="75">
        <f t="shared" si="6"/>
        <v>6636310.297</v>
      </c>
      <c r="CQ15" s="75">
        <f t="shared" si="6"/>
        <v>7739584.9037</v>
      </c>
      <c r="CR15" s="75">
        <f t="shared" si="6"/>
        <v>7269443.3456999995</v>
      </c>
      <c r="CS15" s="75">
        <f t="shared" si="6"/>
        <v>4711919.981000001</v>
      </c>
      <c r="CT15" s="75">
        <f t="shared" si="6"/>
        <v>4327655.539</v>
      </c>
      <c r="CU15" s="76">
        <f t="shared" si="6"/>
        <v>-1092425.318</v>
      </c>
      <c r="CV15" s="76">
        <f t="shared" si="6"/>
        <v>-1013246.0549999999</v>
      </c>
      <c r="CW15" s="75">
        <f>CY15+DA15+DC15</f>
        <v>952629.1287039999</v>
      </c>
      <c r="CX15" s="75">
        <f>CZ15+DB15+DD15</f>
        <v>903678.474213</v>
      </c>
      <c r="CY15" s="75">
        <f aca="true" t="shared" si="7" ref="CY15:DD15">CY16+CY34</f>
        <v>585072.087704</v>
      </c>
      <c r="CZ15" s="75">
        <f t="shared" si="7"/>
        <v>575442.773213</v>
      </c>
      <c r="DA15" s="75">
        <f t="shared" si="7"/>
        <v>38717.669</v>
      </c>
      <c r="DB15" s="75">
        <f t="shared" si="7"/>
        <v>37620.329</v>
      </c>
      <c r="DC15" s="75">
        <f t="shared" si="7"/>
        <v>328839.372</v>
      </c>
      <c r="DD15" s="75">
        <f t="shared" si="7"/>
        <v>290615.372</v>
      </c>
      <c r="DE15" s="75">
        <f>DG15+FA15</f>
        <v>80263413.580105</v>
      </c>
      <c r="DF15" s="75">
        <f>DH15+FB15</f>
        <v>75952129.690752</v>
      </c>
      <c r="DG15" s="75">
        <f>DI15+EG15</f>
        <v>27949701.736171</v>
      </c>
      <c r="DH15" s="75">
        <f>DJ15+EH15</f>
        <v>29812988.495665</v>
      </c>
      <c r="DI15" s="75">
        <f aca="true" t="shared" si="8" ref="DI15:DI28">DK15+DM15+DO15+DQ15+DS15+DU15+DW15+DY15+EA15+EC15+EE15</f>
        <v>14747863.483586</v>
      </c>
      <c r="DJ15" s="80">
        <f aca="true" t="shared" si="9" ref="DJ15:DJ28">DL15+DN15+DP15+DR15+DT15+DV15+DX15+DZ15+EB15+ED15+EF15</f>
        <v>15370321.543743</v>
      </c>
      <c r="DK15" s="75">
        <f aca="true" t="shared" si="10" ref="DK15:EF15">DK16+DK34</f>
        <v>2162970.668835</v>
      </c>
      <c r="DL15" s="75">
        <f t="shared" si="10"/>
        <v>2033878.4712709999</v>
      </c>
      <c r="DM15" s="75">
        <f t="shared" si="10"/>
        <v>3110759.881251</v>
      </c>
      <c r="DN15" s="75">
        <f t="shared" si="10"/>
        <v>3499562.401976</v>
      </c>
      <c r="DO15" s="75">
        <f t="shared" si="10"/>
        <v>1680842.15367</v>
      </c>
      <c r="DP15" s="75">
        <f t="shared" si="10"/>
        <v>2390432.262737</v>
      </c>
      <c r="DQ15" s="75">
        <f t="shared" si="10"/>
        <v>1603702.707738</v>
      </c>
      <c r="DR15" s="75">
        <f t="shared" si="10"/>
        <v>927715.2244490001</v>
      </c>
      <c r="DS15" s="75">
        <f t="shared" si="10"/>
        <v>1246283.999688</v>
      </c>
      <c r="DT15" s="75">
        <f t="shared" si="10"/>
        <v>1118297.588317</v>
      </c>
      <c r="DU15" s="75">
        <f t="shared" si="10"/>
        <v>771186.2679999999</v>
      </c>
      <c r="DV15" s="75">
        <f t="shared" si="10"/>
        <v>678981.036853</v>
      </c>
      <c r="DW15" s="75">
        <f t="shared" si="10"/>
        <v>0</v>
      </c>
      <c r="DX15" s="75">
        <f t="shared" si="10"/>
        <v>321</v>
      </c>
      <c r="DY15" s="75">
        <f t="shared" si="10"/>
        <v>7470</v>
      </c>
      <c r="DZ15" s="75">
        <f t="shared" si="10"/>
        <v>7001</v>
      </c>
      <c r="EA15" s="75">
        <f t="shared" si="10"/>
        <v>3454540.073055</v>
      </c>
      <c r="EB15" s="75">
        <f t="shared" si="10"/>
        <v>4061563.518912</v>
      </c>
      <c r="EC15" s="75">
        <f t="shared" si="10"/>
        <v>2047</v>
      </c>
      <c r="ED15" s="75">
        <f t="shared" si="10"/>
        <v>2232</v>
      </c>
      <c r="EE15" s="75">
        <f t="shared" si="10"/>
        <v>708060.731349</v>
      </c>
      <c r="EF15" s="75">
        <f t="shared" si="10"/>
        <v>650337.039228</v>
      </c>
      <c r="EG15" s="81">
        <f aca="true" t="shared" si="11" ref="EG15:EH17">EI15+EK15+EM15+EO15+EQ15+ES15+EU15+EW15+EY15</f>
        <v>13201838.252584998</v>
      </c>
      <c r="EH15" s="81">
        <f t="shared" si="11"/>
        <v>14442666.951921998</v>
      </c>
      <c r="EI15" s="75">
        <f aca="true" t="shared" si="12" ref="EI15:EZ15">EI16+EI34</f>
        <v>123488</v>
      </c>
      <c r="EJ15" s="75">
        <f t="shared" si="12"/>
        <v>99257</v>
      </c>
      <c r="EK15" s="75">
        <f t="shared" si="12"/>
        <v>160</v>
      </c>
      <c r="EL15" s="75">
        <f t="shared" si="12"/>
        <v>160</v>
      </c>
      <c r="EM15" s="75">
        <f t="shared" si="12"/>
        <v>4582564.41</v>
      </c>
      <c r="EN15" s="75">
        <f t="shared" si="12"/>
        <v>4651654.577</v>
      </c>
      <c r="EO15" s="75">
        <f t="shared" si="12"/>
        <v>5903513.204500999</v>
      </c>
      <c r="EP15" s="75">
        <f t="shared" si="12"/>
        <v>6308174.695281</v>
      </c>
      <c r="EQ15" s="75">
        <f t="shared" si="12"/>
        <v>0</v>
      </c>
      <c r="ER15" s="75">
        <f t="shared" si="12"/>
        <v>0</v>
      </c>
      <c r="ES15" s="75">
        <f t="shared" si="12"/>
        <v>0.257141</v>
      </c>
      <c r="ET15" s="75">
        <f t="shared" si="12"/>
        <v>900.288141</v>
      </c>
      <c r="EU15" s="75">
        <f t="shared" si="12"/>
        <v>1021624</v>
      </c>
      <c r="EV15" s="75">
        <f t="shared" si="12"/>
        <v>1206366</v>
      </c>
      <c r="EW15" s="75">
        <f t="shared" si="12"/>
        <v>1372315.5842189998</v>
      </c>
      <c r="EX15" s="75">
        <f t="shared" si="12"/>
        <v>2058684.3915</v>
      </c>
      <c r="EY15" s="75">
        <f t="shared" si="12"/>
        <v>198172.796724</v>
      </c>
      <c r="EZ15" s="75">
        <f t="shared" si="12"/>
        <v>117470</v>
      </c>
      <c r="FA15" s="75">
        <f>FC15+GC15</f>
        <v>52313711.84393401</v>
      </c>
      <c r="FB15" s="75">
        <f>FD15+GD15</f>
        <v>46139141.195087</v>
      </c>
      <c r="FC15" s="75">
        <f aca="true" t="shared" si="13" ref="FC15:FD28">FE15+FG15+FI15+FK15+FM15+FO15+FQ15+FS15+FU15+FW15+FY15+GA15</f>
        <v>50261245.27954201</v>
      </c>
      <c r="FD15" s="75">
        <f aca="true" t="shared" si="14" ref="FD15:FD25">FF15+FH15+FJ15+FL15+FN15+FP15+FR15+FT15+FV15+FX15+FZ15+GB15</f>
        <v>44718862.320339</v>
      </c>
      <c r="FE15" s="75">
        <f aca="true" t="shared" si="15" ref="FE15:GB15">FE16+FE34</f>
        <v>40296487.924985</v>
      </c>
      <c r="FF15" s="75">
        <f t="shared" si="15"/>
        <v>31000684.179807</v>
      </c>
      <c r="FG15" s="75">
        <f t="shared" si="15"/>
        <v>738</v>
      </c>
      <c r="FH15" s="75">
        <f t="shared" si="15"/>
        <v>738</v>
      </c>
      <c r="FI15" s="75">
        <f t="shared" si="15"/>
        <v>263131</v>
      </c>
      <c r="FJ15" s="75">
        <f t="shared" si="15"/>
        <v>615903.02784</v>
      </c>
      <c r="FK15" s="75">
        <f t="shared" si="15"/>
        <v>12309</v>
      </c>
      <c r="FL15" s="75">
        <f t="shared" si="15"/>
        <v>8627</v>
      </c>
      <c r="FM15" s="75">
        <f t="shared" si="15"/>
        <v>929</v>
      </c>
      <c r="FN15" s="75">
        <f t="shared" si="15"/>
        <v>929</v>
      </c>
      <c r="FO15" s="75">
        <f t="shared" si="15"/>
        <v>14121.539341</v>
      </c>
      <c r="FP15" s="75">
        <f t="shared" si="15"/>
        <v>9233.817031999999</v>
      </c>
      <c r="FQ15" s="75">
        <f t="shared" si="15"/>
        <v>2830662.0791809997</v>
      </c>
      <c r="FR15" s="75">
        <f t="shared" si="15"/>
        <v>879234.012313</v>
      </c>
      <c r="FS15" s="75">
        <f t="shared" si="15"/>
        <v>255030.875476</v>
      </c>
      <c r="FT15" s="75">
        <f t="shared" si="15"/>
        <v>1231938.397269</v>
      </c>
      <c r="FU15" s="75">
        <f t="shared" si="15"/>
        <v>643</v>
      </c>
      <c r="FV15" s="75">
        <f t="shared" si="15"/>
        <v>122</v>
      </c>
      <c r="FW15" s="75">
        <f t="shared" si="15"/>
        <v>3868663.168362</v>
      </c>
      <c r="FX15" s="75">
        <f t="shared" si="15"/>
        <v>7575320.254308</v>
      </c>
      <c r="FY15" s="75">
        <f t="shared" si="15"/>
        <v>1376158.588197</v>
      </c>
      <c r="FZ15" s="75">
        <f t="shared" si="15"/>
        <v>2119229.10177</v>
      </c>
      <c r="GA15" s="75">
        <f t="shared" si="15"/>
        <v>1342371.104</v>
      </c>
      <c r="GB15" s="75">
        <f t="shared" si="15"/>
        <v>1276903.53</v>
      </c>
      <c r="GC15" s="75">
        <f>GE15+GG15+GI15</f>
        <v>2052466.564392</v>
      </c>
      <c r="GD15" s="75">
        <f>GF15+GH15+GJ15</f>
        <v>1420278.874748</v>
      </c>
      <c r="GE15" s="75">
        <f aca="true" t="shared" si="16" ref="GE15:GJ15">GE16+GE34</f>
        <v>862</v>
      </c>
      <c r="GF15" s="75">
        <f t="shared" si="16"/>
        <v>1131</v>
      </c>
      <c r="GG15" s="75">
        <f t="shared" si="16"/>
        <v>642231.968342</v>
      </c>
      <c r="GH15" s="75">
        <f t="shared" si="16"/>
        <v>676886.692342</v>
      </c>
      <c r="GI15" s="75">
        <f t="shared" si="16"/>
        <v>1409372.59605</v>
      </c>
      <c r="GJ15" s="75">
        <f t="shared" si="16"/>
        <v>742261.182406</v>
      </c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61"/>
      <c r="GX15" s="61"/>
      <c r="GY15" s="61"/>
      <c r="GZ15" s="61"/>
      <c r="HA15" s="61"/>
      <c r="HB15" s="31">
        <f aca="true" t="shared" si="17" ref="HB15:HB46">C15-DE15</f>
        <v>0.23539999127388</v>
      </c>
      <c r="HC15" s="31">
        <f aca="true" t="shared" si="18" ref="HC15:HC46">D15-DF15</f>
        <v>-0.16561999917030334</v>
      </c>
    </row>
    <row r="16" spans="1:211" s="53" customFormat="1" ht="15">
      <c r="A16" s="84"/>
      <c r="B16" s="52" t="s">
        <v>65</v>
      </c>
      <c r="C16" s="59">
        <f aca="true" t="shared" si="19" ref="C16:C51">E16+AW16</f>
        <v>62657865.9733</v>
      </c>
      <c r="D16" s="59">
        <f aca="true" t="shared" si="20" ref="D16:D26">F16+AX16</f>
        <v>58041512.410380006</v>
      </c>
      <c r="E16" s="59">
        <f aca="true" t="shared" si="21" ref="E16:E38">G16+M16+S16+AG16+AM16</f>
        <v>23783468.360700004</v>
      </c>
      <c r="F16" s="59">
        <f aca="true" t="shared" si="22" ref="F16:F50">H16+N16+T16+AH16+AN16</f>
        <v>23608438.102</v>
      </c>
      <c r="G16" s="59">
        <f aca="true" t="shared" si="23" ref="G16:G50">SUM(I16+K16)</f>
        <v>5739245.191</v>
      </c>
      <c r="H16" s="59">
        <f aca="true" t="shared" si="24" ref="H16:H50">SUM(J16+L16)</f>
        <v>6342224.992000001</v>
      </c>
      <c r="I16" s="55">
        <f>SUM(I17:I33)</f>
        <v>1880301.217</v>
      </c>
      <c r="J16" s="55">
        <f>SUM(J17:J33)</f>
        <v>1704793.992</v>
      </c>
      <c r="K16" s="55">
        <f>SUM(K17:K33)</f>
        <v>3858943.974</v>
      </c>
      <c r="L16" s="55">
        <f>SUM(L17:L33)</f>
        <v>4637431</v>
      </c>
      <c r="M16" s="56">
        <f aca="true" t="shared" si="25" ref="M16:M33">SUM(O16+Q16)</f>
        <v>7133097.598</v>
      </c>
      <c r="N16" s="56">
        <f aca="true" t="shared" si="26" ref="N16:N33">SUM(P16+R16)</f>
        <v>5725533.405</v>
      </c>
      <c r="O16" s="55">
        <f>SUM(O17:O33)</f>
        <v>7143844.598</v>
      </c>
      <c r="P16" s="55">
        <f>SUM(P17:P33)</f>
        <v>5741283.405</v>
      </c>
      <c r="Q16" s="57">
        <f>SUM(Q17:Q33)</f>
        <v>-10747</v>
      </c>
      <c r="R16" s="57">
        <f>SUM(R17:R33)</f>
        <v>-15750</v>
      </c>
      <c r="S16" s="55">
        <f aca="true" t="shared" si="27" ref="S16:S33">SUM(U16+W16+Y16+AA16+AC16+AE16)</f>
        <v>5516096.358999999</v>
      </c>
      <c r="T16" s="55">
        <f aca="true" t="shared" si="28" ref="T16:T33">SUM(V16+X16+Z16+AB16+AD16+AF16)</f>
        <v>5500145.261000001</v>
      </c>
      <c r="U16" s="55">
        <f aca="true" t="shared" si="29" ref="U16:AA16">SUM(U17:U33)</f>
        <v>2365078.408</v>
      </c>
      <c r="V16" s="55">
        <f t="shared" si="29"/>
        <v>2507371.873</v>
      </c>
      <c r="W16" s="55">
        <f t="shared" si="29"/>
        <v>808416.535</v>
      </c>
      <c r="X16" s="55">
        <f t="shared" si="29"/>
        <v>839296.129</v>
      </c>
      <c r="Y16" s="55">
        <f t="shared" si="29"/>
        <v>8601</v>
      </c>
      <c r="Z16" s="55">
        <f t="shared" si="29"/>
        <v>0</v>
      </c>
      <c r="AA16" s="55">
        <f t="shared" si="29"/>
        <v>0</v>
      </c>
      <c r="AB16" s="55">
        <f>SUM(AB17:AB33)</f>
        <v>0</v>
      </c>
      <c r="AC16" s="55">
        <f>SUM(AC17:AC33)</f>
        <v>2738668.4159999997</v>
      </c>
      <c r="AD16" s="55">
        <f>SUM(AD17:AD33)</f>
        <v>2522996.359</v>
      </c>
      <c r="AE16" s="57">
        <f>SUM(AE17:AE33)</f>
        <v>-404668</v>
      </c>
      <c r="AF16" s="57">
        <f>SUM(AF17:AF33)</f>
        <v>-369519.1</v>
      </c>
      <c r="AG16" s="59">
        <f aca="true" t="shared" si="30" ref="AG16:AG43">SUM(AI16+AK16)</f>
        <v>4861772.754</v>
      </c>
      <c r="AH16" s="59">
        <f aca="true" t="shared" si="31" ref="AH16:AH43">SUM(AJ16+AL16)</f>
        <v>5565188.773</v>
      </c>
      <c r="AI16" s="55">
        <f>SUM(AI17:AI33)</f>
        <v>4884701.754</v>
      </c>
      <c r="AJ16" s="55">
        <f>SUM(AJ17:AJ33)</f>
        <v>5596299.773</v>
      </c>
      <c r="AK16" s="57">
        <f>SUM(AK17:AK33)</f>
        <v>-22929</v>
      </c>
      <c r="AL16" s="57">
        <f>SUM(AL17:AL33)</f>
        <v>-31111</v>
      </c>
      <c r="AM16" s="59">
        <f aca="true" t="shared" si="32" ref="AM16:AM43">SUM(AO16+AQ16+AS16+AU16)</f>
        <v>533256.4587000001</v>
      </c>
      <c r="AN16" s="59">
        <f aca="true" t="shared" si="33" ref="AN16:AN43">SUM(AP16+AR16+AT16+AV16)</f>
        <v>475345.671</v>
      </c>
      <c r="AO16" s="55">
        <f aca="true" t="shared" si="34" ref="AO16:AT16">SUM(AO17:AO33)</f>
        <v>61984.591</v>
      </c>
      <c r="AP16" s="55">
        <f t="shared" si="34"/>
        <v>47722.125</v>
      </c>
      <c r="AQ16" s="55">
        <f t="shared" si="34"/>
        <v>297016.2</v>
      </c>
      <c r="AR16" s="55">
        <f t="shared" si="34"/>
        <v>321832.421</v>
      </c>
      <c r="AS16" s="55">
        <f t="shared" si="34"/>
        <v>84310.95199999999</v>
      </c>
      <c r="AT16" s="55">
        <f t="shared" si="34"/>
        <v>30320.720999999998</v>
      </c>
      <c r="AU16" s="55">
        <f>SUM(AU17:AU33)</f>
        <v>89944.7157</v>
      </c>
      <c r="AV16" s="55">
        <f>SUM(AV17:AV33)</f>
        <v>75470.404</v>
      </c>
      <c r="AW16" s="71">
        <f t="shared" si="2"/>
        <v>38874397.6126</v>
      </c>
      <c r="AX16" s="57">
        <f t="shared" si="2"/>
        <v>34433074.30838</v>
      </c>
      <c r="AY16" s="57">
        <f aca="true" t="shared" si="35" ref="AY16:AY43">SUM(BA16,BC16,BE16,BG16,BI16)</f>
        <v>4348058.8203</v>
      </c>
      <c r="AZ16" s="70">
        <f aca="true" t="shared" si="36" ref="AZ16:AZ43">SUM(BB16,BD16,BF16,BH16,BJ16)</f>
        <v>4713195.9902</v>
      </c>
      <c r="BA16" s="69">
        <f aca="true" t="shared" si="37" ref="BA16:BJ16">SUM(BA17:BA33)</f>
        <v>4054348.494</v>
      </c>
      <c r="BB16" s="55">
        <f t="shared" si="37"/>
        <v>4410658.3229</v>
      </c>
      <c r="BC16" s="55">
        <f t="shared" si="37"/>
        <v>69.749</v>
      </c>
      <c r="BD16" s="55">
        <f t="shared" si="37"/>
        <v>0</v>
      </c>
      <c r="BE16" s="55">
        <f t="shared" si="37"/>
        <v>2779</v>
      </c>
      <c r="BF16" s="55">
        <f t="shared" si="37"/>
        <v>2779</v>
      </c>
      <c r="BG16" s="55">
        <f t="shared" si="37"/>
        <v>425546.895</v>
      </c>
      <c r="BH16" s="55">
        <f t="shared" si="37"/>
        <v>508526.985</v>
      </c>
      <c r="BI16" s="55">
        <f t="shared" si="37"/>
        <v>-134685.3177</v>
      </c>
      <c r="BJ16" s="55">
        <f t="shared" si="37"/>
        <v>-208768.3177</v>
      </c>
      <c r="BK16" s="59">
        <f t="shared" si="4"/>
        <v>12977965.793</v>
      </c>
      <c r="BL16" s="59">
        <f t="shared" si="4"/>
        <v>11799728.8055</v>
      </c>
      <c r="BM16" s="59">
        <f aca="true" t="shared" si="38" ref="BM16:BM43">BO16+BQ16</f>
        <v>5593835.6274</v>
      </c>
      <c r="BN16" s="59">
        <f aca="true" t="shared" si="39" ref="BN16:BN43">BP16+BR16</f>
        <v>5253286.063100001</v>
      </c>
      <c r="BO16" s="55">
        <f>SUM(BO17:BO33)</f>
        <v>12407288.158</v>
      </c>
      <c r="BP16" s="55">
        <f>SUM(BP17:BP33)</f>
        <v>11172591.616</v>
      </c>
      <c r="BQ16" s="57">
        <f>SUM(BQ17:BQ33)</f>
        <v>-6813452.5306</v>
      </c>
      <c r="BR16" s="57">
        <f>SUM(BR17:BR33)</f>
        <v>-5919305.5529</v>
      </c>
      <c r="BS16" s="59">
        <f aca="true" t="shared" si="40" ref="BS16:BS38">BU16+BW16</f>
        <v>0</v>
      </c>
      <c r="BT16" s="59">
        <f aca="true" t="shared" si="41" ref="BT16:BT38">BV16+BX16</f>
        <v>0</v>
      </c>
      <c r="BU16" s="55">
        <f>SUM(BU17:BU33)</f>
        <v>0</v>
      </c>
      <c r="BV16" s="55">
        <f>SUM(BV17:BV33)</f>
        <v>0</v>
      </c>
      <c r="BW16" s="55">
        <f>SUM(BW17:BW33)</f>
        <v>0</v>
      </c>
      <c r="BX16" s="55">
        <f>SUM(BX17:BX33)</f>
        <v>0</v>
      </c>
      <c r="BY16" s="57">
        <f aca="true" t="shared" si="42" ref="BY16:BY50">CA16+CC16</f>
        <v>595724.6706000001</v>
      </c>
      <c r="BZ16" s="57">
        <f aca="true" t="shared" si="43" ref="BZ16:BZ50">CB16+CD16</f>
        <v>655329.5354</v>
      </c>
      <c r="CA16" s="57">
        <f aca="true" t="shared" si="44" ref="CA16:CF16">SUM(CA17:CA33)</f>
        <v>924687.28</v>
      </c>
      <c r="CB16" s="57">
        <f t="shared" si="44"/>
        <v>975832.1448</v>
      </c>
      <c r="CC16" s="57">
        <f t="shared" si="44"/>
        <v>-328962.60939999996</v>
      </c>
      <c r="CD16" s="57">
        <f t="shared" si="44"/>
        <v>-320502.60939999996</v>
      </c>
      <c r="CE16" s="57">
        <f t="shared" si="44"/>
        <v>6788405.495</v>
      </c>
      <c r="CF16" s="57">
        <f t="shared" si="44"/>
        <v>5891113.207</v>
      </c>
      <c r="CG16" s="57">
        <f aca="true" t="shared" si="45" ref="CG16:CG50">CI16+CK16</f>
        <v>584530.1686</v>
      </c>
      <c r="CH16" s="57">
        <f aca="true" t="shared" si="46" ref="CH16:CH50">CJ16+CL16</f>
        <v>475483.07198</v>
      </c>
      <c r="CI16" s="57">
        <f>SUM(CI17:CI33)</f>
        <v>879070.6795999999</v>
      </c>
      <c r="CJ16" s="57">
        <f>SUM(CJ17:CJ33)</f>
        <v>736157.97198</v>
      </c>
      <c r="CK16" s="58">
        <f>SUM(CK17:CK33)</f>
        <v>-294540.511</v>
      </c>
      <c r="CL16" s="58">
        <f>SUM(CL17:CL33)</f>
        <v>-260674.9</v>
      </c>
      <c r="CM16" s="57">
        <f aca="true" t="shared" si="47" ref="CM16:CM50">CO16+CQ16+CS16+CU16</f>
        <v>20432539.8637</v>
      </c>
      <c r="CN16" s="57">
        <f aca="true" t="shared" si="48" ref="CN16:CN50">CP16+CR16+CT16+CV16</f>
        <v>16952211.1267</v>
      </c>
      <c r="CO16" s="57">
        <f aca="true" t="shared" si="49" ref="CO16:CV16">SUM(CO17:CO33)</f>
        <v>9306552.297</v>
      </c>
      <c r="CP16" s="57">
        <f t="shared" si="49"/>
        <v>6632874.297</v>
      </c>
      <c r="CQ16" s="57">
        <f t="shared" si="49"/>
        <v>7569467.9037</v>
      </c>
      <c r="CR16" s="57">
        <f t="shared" si="49"/>
        <v>7080599.3456999995</v>
      </c>
      <c r="CS16" s="57">
        <f t="shared" si="49"/>
        <v>4644334.981000001</v>
      </c>
      <c r="CT16" s="57">
        <f t="shared" si="49"/>
        <v>4248565.539</v>
      </c>
      <c r="CU16" s="58">
        <f t="shared" si="49"/>
        <v>-1087815.318</v>
      </c>
      <c r="CV16" s="58">
        <f t="shared" si="49"/>
        <v>-1009828.0549999999</v>
      </c>
      <c r="CW16" s="57">
        <f aca="true" t="shared" si="50" ref="CW16:CW50">CY16+DA16+DC16</f>
        <v>531302.967</v>
      </c>
      <c r="CX16" s="57">
        <f aca="true" t="shared" si="51" ref="CX16:CX50">CZ16+DB16+DD16</f>
        <v>492455.314</v>
      </c>
      <c r="CY16" s="57">
        <f aca="true" t="shared" si="52" ref="CY16:DD16">SUM(CY17:CY33)</f>
        <v>507451.926</v>
      </c>
      <c r="CZ16" s="57">
        <f t="shared" si="52"/>
        <v>474858.613</v>
      </c>
      <c r="DA16" s="57">
        <f t="shared" si="52"/>
        <v>12679.669</v>
      </c>
      <c r="DB16" s="57">
        <f t="shared" si="52"/>
        <v>15158.329</v>
      </c>
      <c r="DC16" s="57">
        <f t="shared" si="52"/>
        <v>11171.372</v>
      </c>
      <c r="DD16" s="57">
        <f t="shared" si="52"/>
        <v>2438.3720000000003</v>
      </c>
      <c r="DE16" s="57">
        <f aca="true" t="shared" si="53" ref="DE16:DE51">DG16+FA16</f>
        <v>62657865.9759</v>
      </c>
      <c r="DF16" s="57">
        <f aca="true" t="shared" si="54" ref="DF16:DF50">DH16+FB16</f>
        <v>58041512.700100005</v>
      </c>
      <c r="DG16" s="57">
        <f aca="true" t="shared" si="55" ref="DG16:DG50">DI16+EG16</f>
        <v>18431126.2421</v>
      </c>
      <c r="DH16" s="57">
        <f aca="true" t="shared" si="56" ref="DH16:DH50">DJ16+EH16</f>
        <v>19125196.1943</v>
      </c>
      <c r="DI16" s="57">
        <f t="shared" si="8"/>
        <v>8543017.6083</v>
      </c>
      <c r="DJ16" s="57">
        <f t="shared" si="9"/>
        <v>8763925.7559</v>
      </c>
      <c r="DK16" s="57">
        <f aca="true" t="shared" si="57" ref="DK16:EF16">SUM(DK17:DK33)</f>
        <v>1874586.048</v>
      </c>
      <c r="DL16" s="57">
        <f t="shared" si="57"/>
        <v>1744322.2519999999</v>
      </c>
      <c r="DM16" s="57">
        <f t="shared" si="57"/>
        <v>2227871.6909</v>
      </c>
      <c r="DN16" s="57">
        <f t="shared" si="57"/>
        <v>2586315.475</v>
      </c>
      <c r="DO16" s="57">
        <f t="shared" si="57"/>
        <v>174568.26189999998</v>
      </c>
      <c r="DP16" s="57">
        <f t="shared" si="57"/>
        <v>140400.6839</v>
      </c>
      <c r="DQ16" s="57">
        <f t="shared" si="57"/>
        <v>1348596.467</v>
      </c>
      <c r="DR16" s="57">
        <f t="shared" si="57"/>
        <v>677004.658</v>
      </c>
      <c r="DS16" s="57">
        <f t="shared" si="57"/>
        <v>602431.6178</v>
      </c>
      <c r="DT16" s="57">
        <f t="shared" si="57"/>
        <v>400975.93</v>
      </c>
      <c r="DU16" s="57">
        <f t="shared" si="57"/>
        <v>169051.26799999998</v>
      </c>
      <c r="DV16" s="57">
        <f t="shared" si="57"/>
        <v>204411.866</v>
      </c>
      <c r="DW16" s="57">
        <f t="shared" si="57"/>
        <v>0</v>
      </c>
      <c r="DX16" s="57">
        <f t="shared" si="57"/>
        <v>0</v>
      </c>
      <c r="DY16" s="57">
        <f t="shared" si="57"/>
        <v>0</v>
      </c>
      <c r="DZ16" s="57">
        <f t="shared" si="57"/>
        <v>0</v>
      </c>
      <c r="EA16" s="57">
        <f t="shared" si="57"/>
        <v>1563485.0189999999</v>
      </c>
      <c r="EB16" s="57">
        <f t="shared" si="57"/>
        <v>2505162.756</v>
      </c>
      <c r="EC16" s="57">
        <f t="shared" si="57"/>
        <v>0</v>
      </c>
      <c r="ED16" s="57">
        <f t="shared" si="57"/>
        <v>334</v>
      </c>
      <c r="EE16" s="57">
        <f t="shared" si="57"/>
        <v>582427.2357</v>
      </c>
      <c r="EF16" s="57">
        <f t="shared" si="57"/>
        <v>504998.135</v>
      </c>
      <c r="EG16" s="36">
        <f t="shared" si="11"/>
        <v>9888108.6338</v>
      </c>
      <c r="EH16" s="36">
        <f t="shared" si="11"/>
        <v>10361270.4384</v>
      </c>
      <c r="EI16" s="57">
        <f aca="true" t="shared" si="58" ref="EI16:EZ16">SUM(EI17:EI33)</f>
        <v>122522</v>
      </c>
      <c r="EJ16" s="57">
        <f t="shared" si="58"/>
        <v>98626</v>
      </c>
      <c r="EK16" s="57">
        <f t="shared" si="58"/>
        <v>160</v>
      </c>
      <c r="EL16" s="57">
        <f t="shared" si="58"/>
        <v>160</v>
      </c>
      <c r="EM16" s="57">
        <f t="shared" si="58"/>
        <v>2622916.96</v>
      </c>
      <c r="EN16" s="57">
        <f t="shared" si="58"/>
        <v>2765795.093</v>
      </c>
      <c r="EO16" s="57">
        <f t="shared" si="58"/>
        <v>5102106.7419</v>
      </c>
      <c r="EP16" s="57">
        <f t="shared" si="58"/>
        <v>5483488.9539</v>
      </c>
      <c r="EQ16" s="57">
        <f t="shared" si="58"/>
        <v>0</v>
      </c>
      <c r="ER16" s="57">
        <f t="shared" si="58"/>
        <v>0</v>
      </c>
      <c r="ES16" s="57">
        <f t="shared" si="58"/>
        <v>0</v>
      </c>
      <c r="ET16" s="57">
        <f t="shared" si="58"/>
        <v>0</v>
      </c>
      <c r="EU16" s="57">
        <f t="shared" si="58"/>
        <v>1020851</v>
      </c>
      <c r="EV16" s="57">
        <f t="shared" si="58"/>
        <v>1206366</v>
      </c>
      <c r="EW16" s="57">
        <f t="shared" si="58"/>
        <v>827226.9319</v>
      </c>
      <c r="EX16" s="57">
        <f t="shared" si="58"/>
        <v>690936.3915</v>
      </c>
      <c r="EY16" s="57">
        <f t="shared" si="58"/>
        <v>192325</v>
      </c>
      <c r="EZ16" s="57">
        <f t="shared" si="58"/>
        <v>115898</v>
      </c>
      <c r="FA16" s="57">
        <f aca="true" t="shared" si="59" ref="FA16:FA50">FC16+GC16</f>
        <v>44226739.7338</v>
      </c>
      <c r="FB16" s="57">
        <f aca="true" t="shared" si="60" ref="FB16:FB50">FD16+GD16</f>
        <v>38916316.5058</v>
      </c>
      <c r="FC16" s="57">
        <f t="shared" si="13"/>
        <v>44209550.4758</v>
      </c>
      <c r="FD16" s="57">
        <f t="shared" si="14"/>
        <v>38905666.047800004</v>
      </c>
      <c r="FE16" s="57">
        <f aca="true" t="shared" si="61" ref="FE16:GB16">SUM(FE17:FE33)</f>
        <v>36306988</v>
      </c>
      <c r="FF16" s="57">
        <f t="shared" si="61"/>
        <v>27103501</v>
      </c>
      <c r="FG16" s="57">
        <f t="shared" si="61"/>
        <v>0</v>
      </c>
      <c r="FH16" s="57">
        <f t="shared" si="61"/>
        <v>0</v>
      </c>
      <c r="FI16" s="57">
        <f t="shared" si="61"/>
        <v>37982</v>
      </c>
      <c r="FJ16" s="57">
        <f t="shared" si="61"/>
        <v>346329</v>
      </c>
      <c r="FK16" s="57">
        <f t="shared" si="61"/>
        <v>0</v>
      </c>
      <c r="FL16" s="57">
        <f t="shared" si="61"/>
        <v>0</v>
      </c>
      <c r="FM16" s="57">
        <f t="shared" si="61"/>
        <v>929</v>
      </c>
      <c r="FN16" s="57">
        <f t="shared" si="61"/>
        <v>929</v>
      </c>
      <c r="FO16" s="57">
        <f t="shared" si="61"/>
        <v>7691.4309</v>
      </c>
      <c r="FP16" s="57">
        <f t="shared" si="61"/>
        <v>4620.4309</v>
      </c>
      <c r="FQ16" s="57">
        <f t="shared" si="61"/>
        <v>2661284.272</v>
      </c>
      <c r="FR16" s="57">
        <f t="shared" si="61"/>
        <v>756637.773</v>
      </c>
      <c r="FS16" s="57">
        <f t="shared" si="61"/>
        <v>156302</v>
      </c>
      <c r="FT16" s="57">
        <f t="shared" si="61"/>
        <v>1111388.833</v>
      </c>
      <c r="FU16" s="57">
        <f t="shared" si="61"/>
        <v>643</v>
      </c>
      <c r="FV16" s="57">
        <f t="shared" si="61"/>
        <v>616</v>
      </c>
      <c r="FW16" s="57">
        <f t="shared" si="61"/>
        <v>3495724.6689</v>
      </c>
      <c r="FX16" s="57">
        <f t="shared" si="61"/>
        <v>7271136.4809</v>
      </c>
      <c r="FY16" s="57">
        <f t="shared" si="61"/>
        <v>199635</v>
      </c>
      <c r="FZ16" s="57">
        <f t="shared" si="61"/>
        <v>1033604</v>
      </c>
      <c r="GA16" s="57">
        <f t="shared" si="61"/>
        <v>1342371.104</v>
      </c>
      <c r="GB16" s="57">
        <f t="shared" si="61"/>
        <v>1276903.53</v>
      </c>
      <c r="GC16" s="57">
        <f aca="true" t="shared" si="62" ref="GC16:GC70">GE16+GG16+GI16</f>
        <v>17189.258</v>
      </c>
      <c r="GD16" s="57">
        <f aca="true" t="shared" si="63" ref="GD16:GD70">GF16+GH16+GJ16</f>
        <v>10650.458</v>
      </c>
      <c r="GE16" s="57">
        <f aca="true" t="shared" si="64" ref="GE16:GJ16">SUM(GE17:GE33)</f>
        <v>0</v>
      </c>
      <c r="GF16" s="57">
        <f t="shared" si="64"/>
        <v>0</v>
      </c>
      <c r="GG16" s="57">
        <f t="shared" si="64"/>
        <v>16972.258</v>
      </c>
      <c r="GH16" s="57">
        <f t="shared" si="64"/>
        <v>10427.458</v>
      </c>
      <c r="GI16" s="57">
        <f t="shared" si="64"/>
        <v>217</v>
      </c>
      <c r="GJ16" s="57">
        <f t="shared" si="64"/>
        <v>223</v>
      </c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62"/>
      <c r="GX16" s="62"/>
      <c r="GY16" s="62"/>
      <c r="GZ16" s="62"/>
      <c r="HA16" s="62"/>
      <c r="HB16" s="31">
        <f t="shared" si="17"/>
        <v>-0.0025999993085861206</v>
      </c>
      <c r="HC16" s="31">
        <f t="shared" si="18"/>
        <v>-0.28971999883651733</v>
      </c>
    </row>
    <row r="17" spans="1:211" s="9" customFormat="1" ht="17.25" customHeight="1">
      <c r="A17" s="23">
        <v>1</v>
      </c>
      <c r="B17" s="24" t="s">
        <v>66</v>
      </c>
      <c r="C17" s="36">
        <f t="shared" si="19"/>
        <v>1731822</v>
      </c>
      <c r="D17" s="36">
        <f t="shared" si="20"/>
        <v>1506159</v>
      </c>
      <c r="E17" s="36">
        <f t="shared" si="21"/>
        <v>1237926</v>
      </c>
      <c r="F17" s="36">
        <f t="shared" si="22"/>
        <v>1102543</v>
      </c>
      <c r="G17" s="36">
        <f t="shared" si="23"/>
        <v>103536</v>
      </c>
      <c r="H17" s="36">
        <f t="shared" si="24"/>
        <v>354924</v>
      </c>
      <c r="I17" s="36">
        <v>103536</v>
      </c>
      <c r="J17" s="36">
        <v>354924</v>
      </c>
      <c r="K17" s="36">
        <v>0</v>
      </c>
      <c r="L17" s="36">
        <v>0</v>
      </c>
      <c r="M17" s="36">
        <f t="shared" si="25"/>
        <v>228431</v>
      </c>
      <c r="N17" s="36">
        <f t="shared" si="26"/>
        <v>19400</v>
      </c>
      <c r="O17" s="36">
        <v>228431</v>
      </c>
      <c r="P17" s="36">
        <v>19400</v>
      </c>
      <c r="Q17" s="36">
        <v>0</v>
      </c>
      <c r="R17" s="36">
        <v>0</v>
      </c>
      <c r="S17" s="36">
        <f t="shared" si="27"/>
        <v>391535</v>
      </c>
      <c r="T17" s="36">
        <f t="shared" si="28"/>
        <v>223352</v>
      </c>
      <c r="U17" s="36">
        <v>91895</v>
      </c>
      <c r="V17" s="36">
        <v>33442</v>
      </c>
      <c r="W17" s="36">
        <v>13966</v>
      </c>
      <c r="X17" s="36">
        <v>25787</v>
      </c>
      <c r="Y17" s="36">
        <v>0</v>
      </c>
      <c r="Z17" s="36">
        <v>0</v>
      </c>
      <c r="AA17" s="36">
        <v>0</v>
      </c>
      <c r="AB17" s="36">
        <v>0</v>
      </c>
      <c r="AC17" s="36">
        <v>290766</v>
      </c>
      <c r="AD17" s="36">
        <v>174577</v>
      </c>
      <c r="AE17" s="36">
        <v>-5092</v>
      </c>
      <c r="AF17" s="36">
        <v>-10454</v>
      </c>
      <c r="AG17" s="36">
        <f t="shared" si="30"/>
        <v>493164</v>
      </c>
      <c r="AH17" s="36">
        <f t="shared" si="31"/>
        <v>485500</v>
      </c>
      <c r="AI17" s="36">
        <v>493164</v>
      </c>
      <c r="AJ17" s="36">
        <v>485500</v>
      </c>
      <c r="AK17" s="36">
        <v>0</v>
      </c>
      <c r="AL17" s="36">
        <v>0</v>
      </c>
      <c r="AM17" s="36">
        <f t="shared" si="32"/>
        <v>21260</v>
      </c>
      <c r="AN17" s="36">
        <f t="shared" si="33"/>
        <v>19367</v>
      </c>
      <c r="AO17" s="36">
        <v>974</v>
      </c>
      <c r="AP17" s="36">
        <v>430</v>
      </c>
      <c r="AQ17" s="36">
        <v>18368</v>
      </c>
      <c r="AR17" s="36">
        <v>16630</v>
      </c>
      <c r="AS17" s="36">
        <v>89</v>
      </c>
      <c r="AT17" s="36">
        <v>52</v>
      </c>
      <c r="AU17" s="36">
        <v>1829</v>
      </c>
      <c r="AV17" s="36">
        <v>2255</v>
      </c>
      <c r="AW17" s="72">
        <f t="shared" si="2"/>
        <v>493896</v>
      </c>
      <c r="AX17" s="36">
        <f t="shared" si="2"/>
        <v>403616</v>
      </c>
      <c r="AY17" s="36">
        <f t="shared" si="35"/>
        <v>4645</v>
      </c>
      <c r="AZ17" s="36">
        <f t="shared" si="36"/>
        <v>4720</v>
      </c>
      <c r="BA17" s="36">
        <v>311</v>
      </c>
      <c r="BB17" s="36">
        <v>575</v>
      </c>
      <c r="BC17" s="36">
        <v>0</v>
      </c>
      <c r="BD17" s="36">
        <v>0</v>
      </c>
      <c r="BE17" s="36">
        <v>2779</v>
      </c>
      <c r="BF17" s="36">
        <v>2779</v>
      </c>
      <c r="BG17" s="36">
        <v>2248</v>
      </c>
      <c r="BH17" s="36">
        <v>2247</v>
      </c>
      <c r="BI17" s="36">
        <v>-693</v>
      </c>
      <c r="BJ17" s="36">
        <v>-881</v>
      </c>
      <c r="BK17" s="36">
        <f>BM17+BS17+BY17+CE17</f>
        <v>37958</v>
      </c>
      <c r="BL17" s="36">
        <f>BN17+BT17+BZ17+CF17</f>
        <v>42517</v>
      </c>
      <c r="BM17" s="36">
        <f t="shared" si="38"/>
        <v>37958</v>
      </c>
      <c r="BN17" s="36">
        <f t="shared" si="39"/>
        <v>42464</v>
      </c>
      <c r="BO17" s="36">
        <v>87852</v>
      </c>
      <c r="BP17" s="36">
        <v>91430</v>
      </c>
      <c r="BQ17" s="36">
        <v>-49894</v>
      </c>
      <c r="BR17" s="36">
        <v>-48966</v>
      </c>
      <c r="BS17" s="36">
        <f t="shared" si="40"/>
        <v>0</v>
      </c>
      <c r="BT17" s="36">
        <f t="shared" si="41"/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f t="shared" si="42"/>
        <v>0</v>
      </c>
      <c r="BZ17" s="36">
        <f t="shared" si="43"/>
        <v>0</v>
      </c>
      <c r="CA17" s="36">
        <v>253820</v>
      </c>
      <c r="CB17" s="36">
        <v>253820</v>
      </c>
      <c r="CC17" s="37">
        <v>-253820</v>
      </c>
      <c r="CD17" s="37">
        <v>-253820</v>
      </c>
      <c r="CE17" s="36">
        <v>0</v>
      </c>
      <c r="CF17" s="36">
        <v>53</v>
      </c>
      <c r="CG17" s="36">
        <f t="shared" si="45"/>
        <v>69985</v>
      </c>
      <c r="CH17" s="36">
        <f t="shared" si="46"/>
        <v>16769</v>
      </c>
      <c r="CI17" s="36">
        <v>72685</v>
      </c>
      <c r="CJ17" s="36">
        <v>18670</v>
      </c>
      <c r="CK17" s="36">
        <v>-2700</v>
      </c>
      <c r="CL17" s="36">
        <v>-1901</v>
      </c>
      <c r="CM17" s="36">
        <f t="shared" si="47"/>
        <v>378064</v>
      </c>
      <c r="CN17" s="36">
        <f t="shared" si="48"/>
        <v>339610</v>
      </c>
      <c r="CO17" s="36">
        <v>149474</v>
      </c>
      <c r="CP17" s="36">
        <v>126654</v>
      </c>
      <c r="CQ17" s="36">
        <v>203664</v>
      </c>
      <c r="CR17" s="36">
        <v>191274</v>
      </c>
      <c r="CS17" s="36">
        <v>52315</v>
      </c>
      <c r="CT17" s="36">
        <v>46900</v>
      </c>
      <c r="CU17" s="36">
        <v>-27389</v>
      </c>
      <c r="CV17" s="36">
        <v>-25218</v>
      </c>
      <c r="CW17" s="36">
        <f t="shared" si="50"/>
        <v>3244</v>
      </c>
      <c r="CX17" s="36">
        <f t="shared" si="51"/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3244</v>
      </c>
      <c r="DD17" s="36">
        <v>0</v>
      </c>
      <c r="DE17" s="36">
        <f t="shared" si="53"/>
        <v>1731822</v>
      </c>
      <c r="DF17" s="36">
        <f t="shared" si="54"/>
        <v>1506159</v>
      </c>
      <c r="DG17" s="36">
        <f>DI17+EG17</f>
        <v>472828</v>
      </c>
      <c r="DH17" s="36">
        <f t="shared" si="56"/>
        <v>325204</v>
      </c>
      <c r="DI17" s="36">
        <f t="shared" si="8"/>
        <v>331823</v>
      </c>
      <c r="DJ17" s="36">
        <f t="shared" si="9"/>
        <v>158481</v>
      </c>
      <c r="DK17" s="36">
        <v>14170</v>
      </c>
      <c r="DL17" s="36">
        <v>19460</v>
      </c>
      <c r="DM17" s="36">
        <v>236930</v>
      </c>
      <c r="DN17" s="36">
        <v>75251</v>
      </c>
      <c r="DO17" s="36">
        <v>17693</v>
      </c>
      <c r="DP17" s="36">
        <v>9495</v>
      </c>
      <c r="DQ17" s="36">
        <v>5839</v>
      </c>
      <c r="DR17" s="36">
        <v>6582</v>
      </c>
      <c r="DS17" s="36">
        <v>5175</v>
      </c>
      <c r="DT17" s="36">
        <v>4489</v>
      </c>
      <c r="DU17" s="36">
        <v>447</v>
      </c>
      <c r="DV17" s="36">
        <v>3474</v>
      </c>
      <c r="DW17" s="36">
        <v>0</v>
      </c>
      <c r="DX17" s="36">
        <v>0</v>
      </c>
      <c r="DY17" s="36">
        <v>0</v>
      </c>
      <c r="DZ17" s="36">
        <v>0</v>
      </c>
      <c r="EA17" s="36">
        <v>48944</v>
      </c>
      <c r="EB17" s="36">
        <v>38452</v>
      </c>
      <c r="EC17" s="36">
        <v>0</v>
      </c>
      <c r="ED17" s="36">
        <v>0</v>
      </c>
      <c r="EE17" s="36">
        <v>2625</v>
      </c>
      <c r="EF17" s="36">
        <v>1278</v>
      </c>
      <c r="EG17" s="36">
        <f t="shared" si="11"/>
        <v>141005</v>
      </c>
      <c r="EH17" s="36">
        <f t="shared" si="11"/>
        <v>166723</v>
      </c>
      <c r="EI17" s="36">
        <v>938</v>
      </c>
      <c r="EJ17" s="36">
        <v>938</v>
      </c>
      <c r="EK17" s="36">
        <v>160</v>
      </c>
      <c r="EL17" s="36">
        <v>160</v>
      </c>
      <c r="EM17" s="36">
        <v>14503</v>
      </c>
      <c r="EN17" s="36">
        <v>13934</v>
      </c>
      <c r="EO17" s="36">
        <v>109100</v>
      </c>
      <c r="EP17" s="36">
        <v>151691</v>
      </c>
      <c r="EQ17" s="36">
        <v>0</v>
      </c>
      <c r="ER17" s="36">
        <v>0</v>
      </c>
      <c r="ES17" s="36">
        <v>0</v>
      </c>
      <c r="ET17" s="36">
        <v>0</v>
      </c>
      <c r="EU17" s="36">
        <v>0</v>
      </c>
      <c r="EV17" s="36">
        <v>0</v>
      </c>
      <c r="EW17" s="36">
        <v>16304</v>
      </c>
      <c r="EX17" s="36">
        <v>0</v>
      </c>
      <c r="EY17" s="36">
        <v>0</v>
      </c>
      <c r="EZ17" s="36">
        <v>0</v>
      </c>
      <c r="FA17" s="36">
        <f t="shared" si="59"/>
        <v>1258994</v>
      </c>
      <c r="FB17" s="36">
        <f t="shared" si="60"/>
        <v>1180955</v>
      </c>
      <c r="FC17" s="36">
        <f t="shared" si="13"/>
        <v>1258994</v>
      </c>
      <c r="FD17" s="36">
        <f t="shared" si="14"/>
        <v>1180955</v>
      </c>
      <c r="FE17" s="36">
        <v>1083029</v>
      </c>
      <c r="FF17" s="36">
        <v>909587</v>
      </c>
      <c r="FG17" s="36">
        <v>0</v>
      </c>
      <c r="FH17" s="36">
        <v>0</v>
      </c>
      <c r="FI17" s="36">
        <v>0</v>
      </c>
      <c r="FJ17" s="36">
        <v>0</v>
      </c>
      <c r="FK17" s="36">
        <v>0</v>
      </c>
      <c r="FL17" s="36">
        <v>0</v>
      </c>
      <c r="FM17" s="36">
        <v>0</v>
      </c>
      <c r="FN17" s="36">
        <v>0</v>
      </c>
      <c r="FO17" s="36">
        <v>0</v>
      </c>
      <c r="FP17" s="36">
        <v>0</v>
      </c>
      <c r="FQ17" s="36">
        <v>47628</v>
      </c>
      <c r="FR17" s="36">
        <v>1704</v>
      </c>
      <c r="FS17" s="36">
        <v>0</v>
      </c>
      <c r="FT17" s="36">
        <v>14113</v>
      </c>
      <c r="FU17" s="36">
        <v>0</v>
      </c>
      <c r="FV17" s="36">
        <v>0</v>
      </c>
      <c r="FW17" s="36">
        <v>61618</v>
      </c>
      <c r="FX17" s="36">
        <v>196139</v>
      </c>
      <c r="FY17" s="36">
        <v>0</v>
      </c>
      <c r="FZ17" s="36">
        <v>70</v>
      </c>
      <c r="GA17" s="36">
        <v>66719</v>
      </c>
      <c r="GB17" s="36">
        <v>59342</v>
      </c>
      <c r="GC17" s="36">
        <f t="shared" si="62"/>
        <v>0</v>
      </c>
      <c r="GD17" s="36">
        <f t="shared" si="63"/>
        <v>0</v>
      </c>
      <c r="GE17" s="36">
        <v>0</v>
      </c>
      <c r="GF17" s="36">
        <v>0</v>
      </c>
      <c r="GG17" s="36">
        <v>0</v>
      </c>
      <c r="GH17" s="36">
        <v>0</v>
      </c>
      <c r="GI17" s="36">
        <v>0</v>
      </c>
      <c r="GJ17" s="36">
        <v>0</v>
      </c>
      <c r="GK17" s="36">
        <v>0</v>
      </c>
      <c r="GL17" s="36">
        <v>0</v>
      </c>
      <c r="GM17" s="36">
        <v>0</v>
      </c>
      <c r="GN17" s="36">
        <v>0</v>
      </c>
      <c r="GO17" s="36">
        <v>0</v>
      </c>
      <c r="GP17" s="36">
        <v>0</v>
      </c>
      <c r="GQ17" s="36">
        <f>36976+5530</f>
        <v>42506</v>
      </c>
      <c r="GR17" s="36">
        <f>17239+5530</f>
        <v>22769</v>
      </c>
      <c r="GS17" s="38">
        <v>47531.95</v>
      </c>
      <c r="GT17" s="38">
        <v>47483.56</v>
      </c>
      <c r="GU17" s="36">
        <v>0</v>
      </c>
      <c r="GV17" s="36">
        <v>0</v>
      </c>
      <c r="GW17" s="63"/>
      <c r="GX17" s="63"/>
      <c r="GY17" s="63"/>
      <c r="GZ17" s="63"/>
      <c r="HA17" s="63"/>
      <c r="HB17" s="31">
        <f t="shared" si="17"/>
        <v>0</v>
      </c>
      <c r="HC17" s="31">
        <f t="shared" si="18"/>
        <v>0</v>
      </c>
    </row>
    <row r="18" spans="1:211" s="10" customFormat="1" ht="17.25" customHeight="1">
      <c r="A18" s="23">
        <v>2</v>
      </c>
      <c r="B18" s="24" t="s">
        <v>188</v>
      </c>
      <c r="C18" s="36">
        <f t="shared" si="19"/>
        <v>3654063.6133000003</v>
      </c>
      <c r="D18" s="36">
        <f t="shared" si="20"/>
        <v>4131425.13538</v>
      </c>
      <c r="E18" s="36">
        <f t="shared" si="21"/>
        <v>1885239.0007</v>
      </c>
      <c r="F18" s="36">
        <f t="shared" si="22"/>
        <v>2227840.827</v>
      </c>
      <c r="G18" s="36">
        <f>SUM(I18+K18)</f>
        <v>127251.191</v>
      </c>
      <c r="H18" s="36">
        <f t="shared" si="24"/>
        <v>22350.992</v>
      </c>
      <c r="I18" s="36">
        <v>24304.217</v>
      </c>
      <c r="J18" s="36">
        <v>21350.992</v>
      </c>
      <c r="K18" s="36">
        <v>102946.974</v>
      </c>
      <c r="L18" s="36">
        <v>1000</v>
      </c>
      <c r="M18" s="36">
        <f t="shared" si="25"/>
        <v>1324.598</v>
      </c>
      <c r="N18" s="36">
        <f t="shared" si="26"/>
        <v>37012.405</v>
      </c>
      <c r="O18" s="36">
        <v>1324.598</v>
      </c>
      <c r="P18" s="36">
        <v>37012.405</v>
      </c>
      <c r="Q18" s="36"/>
      <c r="R18" s="36"/>
      <c r="S18" s="36">
        <f t="shared" si="27"/>
        <v>872921.999</v>
      </c>
      <c r="T18" s="36">
        <f t="shared" si="28"/>
        <v>903453.701</v>
      </c>
      <c r="U18" s="36">
        <v>10101.408</v>
      </c>
      <c r="V18" s="36">
        <v>111759.873</v>
      </c>
      <c r="W18" s="36">
        <v>21165.535</v>
      </c>
      <c r="X18" s="36">
        <v>24345.129</v>
      </c>
      <c r="Y18" s="36"/>
      <c r="Z18" s="36"/>
      <c r="AA18" s="36"/>
      <c r="AB18" s="36"/>
      <c r="AC18" s="36">
        <v>841655.056</v>
      </c>
      <c r="AD18" s="36">
        <v>767362.799</v>
      </c>
      <c r="AE18" s="36"/>
      <c r="AF18" s="36">
        <v>-14.1</v>
      </c>
      <c r="AG18" s="36">
        <f t="shared" si="30"/>
        <v>812666.754</v>
      </c>
      <c r="AH18" s="36">
        <f t="shared" si="31"/>
        <v>1205096.773</v>
      </c>
      <c r="AI18" s="36">
        <v>812666.754</v>
      </c>
      <c r="AJ18" s="36">
        <v>1205096.773</v>
      </c>
      <c r="AK18" s="36"/>
      <c r="AL18" s="36"/>
      <c r="AM18" s="36">
        <f t="shared" si="32"/>
        <v>71074.4587</v>
      </c>
      <c r="AN18" s="36">
        <f t="shared" si="33"/>
        <v>59926.956</v>
      </c>
      <c r="AO18" s="36">
        <v>35405.591</v>
      </c>
      <c r="AP18" s="36">
        <v>28713.41</v>
      </c>
      <c r="AQ18" s="36">
        <v>34464.2</v>
      </c>
      <c r="AR18" s="36">
        <v>29578.421</v>
      </c>
      <c r="AS18" s="36">
        <v>638.952</v>
      </c>
      <c r="AT18" s="36">
        <v>977.721</v>
      </c>
      <c r="AU18" s="36">
        <v>565.7157</v>
      </c>
      <c r="AV18" s="36">
        <v>657.404</v>
      </c>
      <c r="AW18" s="36">
        <f t="shared" si="2"/>
        <v>1768824.6126</v>
      </c>
      <c r="AX18" s="36">
        <f t="shared" si="2"/>
        <v>1903584.30838</v>
      </c>
      <c r="AY18" s="36">
        <f t="shared" si="35"/>
        <v>77459.8203</v>
      </c>
      <c r="AZ18" s="36">
        <f t="shared" si="36"/>
        <v>150565.99019999997</v>
      </c>
      <c r="BA18" s="36">
        <v>964.494</v>
      </c>
      <c r="BB18" s="36">
        <v>1020.3229</v>
      </c>
      <c r="BC18" s="36">
        <v>69.749</v>
      </c>
      <c r="BD18" s="36"/>
      <c r="BE18" s="36"/>
      <c r="BF18" s="36"/>
      <c r="BG18" s="36">
        <v>76664.895</v>
      </c>
      <c r="BH18" s="36">
        <v>149784.985</v>
      </c>
      <c r="BI18" s="36">
        <v>-239.3177</v>
      </c>
      <c r="BJ18" s="36">
        <f>BI18</f>
        <v>-239.3177</v>
      </c>
      <c r="BK18" s="36">
        <f>BM18+BS18+BY18+CE18</f>
        <v>121961.793</v>
      </c>
      <c r="BL18" s="36">
        <f>BN18+BT18+BZ18+CF18</f>
        <v>237657.80550000002</v>
      </c>
      <c r="BM18" s="36">
        <f t="shared" si="38"/>
        <v>2052.6273999999994</v>
      </c>
      <c r="BN18" s="36">
        <f t="shared" si="39"/>
        <v>4609.063099999999</v>
      </c>
      <c r="BO18" s="36">
        <v>10704.158</v>
      </c>
      <c r="BP18" s="36">
        <v>13612.616</v>
      </c>
      <c r="BQ18" s="36">
        <v>-8651.5306</v>
      </c>
      <c r="BR18" s="36">
        <v>-9003.5529</v>
      </c>
      <c r="BS18" s="36">
        <f t="shared" si="40"/>
        <v>0</v>
      </c>
      <c r="BT18" s="36">
        <f t="shared" si="41"/>
        <v>0</v>
      </c>
      <c r="BU18" s="36"/>
      <c r="BV18" s="36"/>
      <c r="BW18" s="36"/>
      <c r="BX18" s="36"/>
      <c r="BY18" s="36">
        <f t="shared" si="42"/>
        <v>86174.6706</v>
      </c>
      <c r="BZ18" s="36">
        <f t="shared" si="43"/>
        <v>142542.53540000002</v>
      </c>
      <c r="CA18" s="36">
        <v>86605.28</v>
      </c>
      <c r="CB18" s="36">
        <v>142973.1448</v>
      </c>
      <c r="CC18" s="37">
        <v>-430.6094</v>
      </c>
      <c r="CD18" s="37">
        <f>CC18</f>
        <v>-430.6094</v>
      </c>
      <c r="CE18" s="36">
        <v>33734.495</v>
      </c>
      <c r="CF18" s="36">
        <v>90506.207</v>
      </c>
      <c r="CG18" s="36">
        <f t="shared" si="45"/>
        <v>220141.16859999998</v>
      </c>
      <c r="CH18" s="36">
        <f t="shared" si="46"/>
        <v>158598.07198</v>
      </c>
      <c r="CI18" s="36">
        <v>263407.6796</v>
      </c>
      <c r="CJ18" s="36">
        <v>194327.97198</v>
      </c>
      <c r="CK18" s="36">
        <v>-43266.511</v>
      </c>
      <c r="CL18" s="36">
        <v>-35729.9</v>
      </c>
      <c r="CM18" s="36">
        <f t="shared" si="47"/>
        <v>1329789.8637</v>
      </c>
      <c r="CN18" s="36">
        <f t="shared" si="48"/>
        <v>1337091.1267000001</v>
      </c>
      <c r="CO18" s="36">
        <v>523973.297</v>
      </c>
      <c r="CP18" s="36">
        <f>CO18</f>
        <v>523973.297</v>
      </c>
      <c r="CQ18" s="36">
        <v>189018.9037</v>
      </c>
      <c r="CR18" s="36">
        <v>358750.3457</v>
      </c>
      <c r="CS18" s="36">
        <v>710104.981</v>
      </c>
      <c r="CT18" s="36">
        <v>542373.539</v>
      </c>
      <c r="CU18" s="36">
        <v>-93307.318</v>
      </c>
      <c r="CV18" s="36">
        <v>-88006.055</v>
      </c>
      <c r="CW18" s="36">
        <f t="shared" si="50"/>
        <v>19471.967</v>
      </c>
      <c r="CX18" s="36">
        <f t="shared" si="51"/>
        <v>19671.314000000002</v>
      </c>
      <c r="CY18" s="36">
        <v>17343.926</v>
      </c>
      <c r="CZ18" s="36">
        <v>17916.613</v>
      </c>
      <c r="DA18" s="36">
        <v>1980.669</v>
      </c>
      <c r="DB18" s="36">
        <v>1607.329</v>
      </c>
      <c r="DC18" s="36">
        <v>147.372</v>
      </c>
      <c r="DD18" s="36">
        <f>DC18</f>
        <v>147.372</v>
      </c>
      <c r="DE18" s="36">
        <f t="shared" si="53"/>
        <v>3654063.6158999996</v>
      </c>
      <c r="DF18" s="36">
        <f t="shared" si="54"/>
        <v>4131425.1401</v>
      </c>
      <c r="DG18" s="36">
        <f>DI18+EG18</f>
        <v>562226.2421</v>
      </c>
      <c r="DH18" s="36">
        <f t="shared" si="56"/>
        <v>1183208.1943</v>
      </c>
      <c r="DI18" s="36">
        <f t="shared" si="8"/>
        <v>247961.6083</v>
      </c>
      <c r="DJ18" s="36">
        <f t="shared" si="9"/>
        <v>817844.7559</v>
      </c>
      <c r="DK18" s="36">
        <v>1205.048</v>
      </c>
      <c r="DL18" s="36">
        <v>138731.252</v>
      </c>
      <c r="DM18" s="36">
        <v>9616.6909</v>
      </c>
      <c r="DN18" s="36">
        <v>73584.475</v>
      </c>
      <c r="DO18" s="36">
        <v>3288.2619</v>
      </c>
      <c r="DP18" s="36">
        <v>3280.6839</v>
      </c>
      <c r="DQ18" s="36">
        <v>19257.467</v>
      </c>
      <c r="DR18" s="36">
        <v>71171.658</v>
      </c>
      <c r="DS18" s="36">
        <v>9407.6178</v>
      </c>
      <c r="DT18" s="36">
        <v>12848.93</v>
      </c>
      <c r="DU18" s="36">
        <v>6070.268</v>
      </c>
      <c r="DV18" s="36">
        <v>6816.866</v>
      </c>
      <c r="DW18" s="36"/>
      <c r="DX18" s="36"/>
      <c r="DY18" s="36"/>
      <c r="DZ18" s="36"/>
      <c r="EA18" s="36">
        <v>189999.019</v>
      </c>
      <c r="EB18" s="36">
        <v>504222.756</v>
      </c>
      <c r="EC18" s="36"/>
      <c r="ED18" s="36"/>
      <c r="EE18" s="36">
        <v>9117.2357</v>
      </c>
      <c r="EF18" s="36">
        <v>7188.135</v>
      </c>
      <c r="EG18" s="36">
        <f>EI18+EK18+EM18+EO18+EQ18+ES18+EU18+EW18+EY18</f>
        <v>314264.6338</v>
      </c>
      <c r="EH18" s="36">
        <f aca="true" t="shared" si="65" ref="EH18:EH33">EJ18+EL18+EN18+EP18+ER18+ET18+EV18+EX18+EZ18</f>
        <v>365363.43840000004</v>
      </c>
      <c r="EI18" s="36"/>
      <c r="EJ18" s="36"/>
      <c r="EK18" s="36"/>
      <c r="EL18" s="36"/>
      <c r="EM18" s="36">
        <v>259962.96</v>
      </c>
      <c r="EN18" s="36">
        <v>334643.093</v>
      </c>
      <c r="EO18" s="36">
        <v>32559.7419</v>
      </c>
      <c r="EP18" s="36">
        <v>26550.9539</v>
      </c>
      <c r="EQ18" s="36"/>
      <c r="ER18" s="36"/>
      <c r="ES18" s="36"/>
      <c r="ET18" s="36"/>
      <c r="EU18" s="36"/>
      <c r="EV18" s="36"/>
      <c r="EW18" s="36">
        <v>21641.9319</v>
      </c>
      <c r="EX18" s="36">
        <v>4169.3915</v>
      </c>
      <c r="EY18" s="36">
        <v>100</v>
      </c>
      <c r="EZ18" s="36"/>
      <c r="FA18" s="36">
        <f t="shared" si="59"/>
        <v>3091837.3737999997</v>
      </c>
      <c r="FB18" s="36">
        <f t="shared" si="60"/>
        <v>2948216.9458</v>
      </c>
      <c r="FC18" s="36">
        <f t="shared" si="13"/>
        <v>3091689.1158</v>
      </c>
      <c r="FD18" s="36">
        <f t="shared" si="14"/>
        <v>2948068.6878</v>
      </c>
      <c r="FE18" s="36">
        <v>2775722</v>
      </c>
      <c r="FF18" s="36">
        <v>2105744</v>
      </c>
      <c r="FG18" s="36"/>
      <c r="FH18" s="36"/>
      <c r="FI18" s="36"/>
      <c r="FJ18" s="36"/>
      <c r="FK18" s="36"/>
      <c r="FL18" s="36"/>
      <c r="FM18" s="36"/>
      <c r="FN18" s="36"/>
      <c r="FO18" s="36">
        <v>1.4309</v>
      </c>
      <c r="FP18" s="36">
        <f>FO18</f>
        <v>1.4309</v>
      </c>
      <c r="FQ18" s="36">
        <v>61583.912</v>
      </c>
      <c r="FR18" s="36">
        <v>15828.413</v>
      </c>
      <c r="FS18" s="36"/>
      <c r="FT18" s="36">
        <v>18702.833</v>
      </c>
      <c r="FU18" s="36"/>
      <c r="FV18" s="36"/>
      <c r="FW18" s="36">
        <v>194994.6689</v>
      </c>
      <c r="FX18" s="36">
        <v>776707.4809</v>
      </c>
      <c r="FY18" s="36"/>
      <c r="FZ18" s="36"/>
      <c r="GA18" s="36">
        <v>59387.104</v>
      </c>
      <c r="GB18" s="36">
        <v>31084.53</v>
      </c>
      <c r="GC18" s="36">
        <f t="shared" si="62"/>
        <v>148.258</v>
      </c>
      <c r="GD18" s="36">
        <f t="shared" si="63"/>
        <v>148.258</v>
      </c>
      <c r="GE18" s="36"/>
      <c r="GF18" s="36"/>
      <c r="GG18" s="36">
        <v>148.258</v>
      </c>
      <c r="GH18" s="36">
        <f>GG18</f>
        <v>148.258</v>
      </c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64"/>
      <c r="GX18" s="64"/>
      <c r="GY18" s="64"/>
      <c r="GZ18" s="64"/>
      <c r="HA18" s="64"/>
      <c r="HB18" s="31">
        <f t="shared" si="17"/>
        <v>-0.0025999993085861206</v>
      </c>
      <c r="HC18" s="31">
        <f t="shared" si="18"/>
        <v>-0.004720000084489584</v>
      </c>
    </row>
    <row r="19" spans="1:211" s="9" customFormat="1" ht="17.25" customHeight="1">
      <c r="A19" s="23">
        <v>3</v>
      </c>
      <c r="B19" s="24" t="s">
        <v>189</v>
      </c>
      <c r="C19" s="36">
        <f t="shared" si="19"/>
        <v>2801487</v>
      </c>
      <c r="D19" s="36">
        <f t="shared" si="20"/>
        <v>2038068</v>
      </c>
      <c r="E19" s="36">
        <f t="shared" si="21"/>
        <v>849325</v>
      </c>
      <c r="F19" s="36">
        <f t="shared" si="22"/>
        <v>685918</v>
      </c>
      <c r="G19" s="36">
        <f aca="true" t="shared" si="66" ref="G19:H24">SUM(I19+K19)</f>
        <v>69859</v>
      </c>
      <c r="H19" s="36">
        <f>SUM(J19+L19)</f>
        <v>50225</v>
      </c>
      <c r="I19" s="36">
        <v>69359</v>
      </c>
      <c r="J19" s="36">
        <v>50225</v>
      </c>
      <c r="K19" s="36">
        <v>500</v>
      </c>
      <c r="L19" s="36">
        <v>0</v>
      </c>
      <c r="M19" s="36">
        <f aca="true" t="shared" si="67" ref="M19:M24">SUM(O19+Q19)</f>
        <v>613</v>
      </c>
      <c r="N19" s="36">
        <f t="shared" si="26"/>
        <v>613</v>
      </c>
      <c r="O19" s="36">
        <v>613</v>
      </c>
      <c r="P19" s="36">
        <v>613</v>
      </c>
      <c r="Q19" s="36">
        <v>0</v>
      </c>
      <c r="R19" s="36">
        <v>0</v>
      </c>
      <c r="S19" s="36">
        <f t="shared" si="27"/>
        <v>419862</v>
      </c>
      <c r="T19" s="36">
        <f t="shared" si="28"/>
        <v>379467</v>
      </c>
      <c r="U19" s="36">
        <v>204590</v>
      </c>
      <c r="V19" s="36">
        <v>158854</v>
      </c>
      <c r="W19" s="36">
        <v>47684</v>
      </c>
      <c r="X19" s="36">
        <v>45834</v>
      </c>
      <c r="Y19" s="36">
        <v>0</v>
      </c>
      <c r="Z19" s="36">
        <v>0</v>
      </c>
      <c r="AA19" s="36">
        <v>0</v>
      </c>
      <c r="AB19" s="36">
        <v>0</v>
      </c>
      <c r="AC19" s="36">
        <v>188031</v>
      </c>
      <c r="AD19" s="36">
        <v>192500</v>
      </c>
      <c r="AE19" s="36">
        <v>-20443</v>
      </c>
      <c r="AF19" s="36">
        <v>-17721</v>
      </c>
      <c r="AG19" s="36">
        <f t="shared" si="30"/>
        <v>330728</v>
      </c>
      <c r="AH19" s="36">
        <f t="shared" si="31"/>
        <v>227006</v>
      </c>
      <c r="AI19" s="36">
        <v>330728</v>
      </c>
      <c r="AJ19" s="36">
        <v>228506</v>
      </c>
      <c r="AK19" s="36">
        <v>0</v>
      </c>
      <c r="AL19" s="36">
        <v>-1500</v>
      </c>
      <c r="AM19" s="36">
        <f t="shared" si="32"/>
        <v>28263</v>
      </c>
      <c r="AN19" s="36">
        <f t="shared" si="33"/>
        <v>28607</v>
      </c>
      <c r="AO19" s="36">
        <v>0</v>
      </c>
      <c r="AP19" s="36">
        <v>443</v>
      </c>
      <c r="AQ19" s="36">
        <v>1754</v>
      </c>
      <c r="AR19" s="36">
        <v>0</v>
      </c>
      <c r="AS19" s="36">
        <v>7939</v>
      </c>
      <c r="AT19" s="36">
        <v>12102</v>
      </c>
      <c r="AU19" s="36">
        <v>18570</v>
      </c>
      <c r="AV19" s="36">
        <v>16062</v>
      </c>
      <c r="AW19" s="36">
        <f t="shared" si="2"/>
        <v>1952162</v>
      </c>
      <c r="AX19" s="36">
        <f>AZ19+BL19+CH19+CN19+CX19</f>
        <v>1352150</v>
      </c>
      <c r="AY19" s="36">
        <f aca="true" t="shared" si="68" ref="AY19:AY24">SUM(BA19,BC19,BE19,BG19,BI19)</f>
        <v>60339</v>
      </c>
      <c r="AZ19" s="36">
        <f t="shared" si="36"/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60339</v>
      </c>
      <c r="BH19" s="36">
        <v>0</v>
      </c>
      <c r="BI19" s="36">
        <v>0</v>
      </c>
      <c r="BJ19" s="36">
        <v>0</v>
      </c>
      <c r="BK19" s="36">
        <f aca="true" t="shared" si="69" ref="BK19:BK34">BM19+BS19+BY19+CE19</f>
        <v>776176</v>
      </c>
      <c r="BL19" s="36">
        <f t="shared" si="4"/>
        <v>306911</v>
      </c>
      <c r="BM19" s="36">
        <f t="shared" si="38"/>
        <v>192517</v>
      </c>
      <c r="BN19" s="36">
        <f t="shared" si="39"/>
        <v>142295</v>
      </c>
      <c r="BO19" s="36">
        <v>294886</v>
      </c>
      <c r="BP19" s="36">
        <v>244946</v>
      </c>
      <c r="BQ19" s="36">
        <v>-102369</v>
      </c>
      <c r="BR19" s="36">
        <v>-102651</v>
      </c>
      <c r="BS19" s="36">
        <f t="shared" si="40"/>
        <v>0</v>
      </c>
      <c r="BT19" s="36">
        <f t="shared" si="41"/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f t="shared" si="42"/>
        <v>473</v>
      </c>
      <c r="BZ19" s="36">
        <f t="shared" si="43"/>
        <v>3252</v>
      </c>
      <c r="CA19" s="36">
        <v>2050</v>
      </c>
      <c r="CB19" s="36">
        <v>4774</v>
      </c>
      <c r="CC19" s="37">
        <v>-1577</v>
      </c>
      <c r="CD19" s="37">
        <v>-1522</v>
      </c>
      <c r="CE19" s="36">
        <v>583186</v>
      </c>
      <c r="CF19" s="36">
        <v>161364</v>
      </c>
      <c r="CG19" s="36">
        <f t="shared" si="45"/>
        <v>0</v>
      </c>
      <c r="CH19" s="36">
        <f t="shared" si="46"/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f t="shared" si="47"/>
        <v>1113576</v>
      </c>
      <c r="CN19" s="36">
        <f t="shared" si="48"/>
        <v>1027343</v>
      </c>
      <c r="CO19" s="36">
        <v>795237</v>
      </c>
      <c r="CP19" s="36">
        <v>794375</v>
      </c>
      <c r="CQ19" s="36">
        <v>387012</v>
      </c>
      <c r="CR19" s="36">
        <v>300469</v>
      </c>
      <c r="CS19" s="36">
        <v>0</v>
      </c>
      <c r="CT19" s="36">
        <v>0</v>
      </c>
      <c r="CU19" s="36">
        <v>-68673</v>
      </c>
      <c r="CV19" s="36">
        <v>-67501</v>
      </c>
      <c r="CW19" s="36">
        <f t="shared" si="50"/>
        <v>2071</v>
      </c>
      <c r="CX19" s="36">
        <f t="shared" si="51"/>
        <v>17896</v>
      </c>
      <c r="CY19" s="36">
        <v>1374</v>
      </c>
      <c r="CZ19" s="36">
        <v>17896</v>
      </c>
      <c r="DA19" s="36">
        <v>0</v>
      </c>
      <c r="DB19" s="36">
        <v>0</v>
      </c>
      <c r="DC19" s="36">
        <v>697</v>
      </c>
      <c r="DD19" s="36">
        <v>0</v>
      </c>
      <c r="DE19" s="36">
        <f t="shared" si="53"/>
        <v>2801487</v>
      </c>
      <c r="DF19" s="36">
        <f t="shared" si="54"/>
        <v>2038068</v>
      </c>
      <c r="DG19" s="36">
        <f t="shared" si="55"/>
        <v>1227719</v>
      </c>
      <c r="DH19" s="36">
        <f t="shared" si="56"/>
        <v>494548</v>
      </c>
      <c r="DI19" s="36">
        <f t="shared" si="8"/>
        <v>596311</v>
      </c>
      <c r="DJ19" s="36">
        <f t="shared" si="9"/>
        <v>472481</v>
      </c>
      <c r="DK19" s="36">
        <v>320727</v>
      </c>
      <c r="DL19" s="36">
        <v>172711</v>
      </c>
      <c r="DM19" s="36">
        <v>97190</v>
      </c>
      <c r="DN19" s="36">
        <v>95034</v>
      </c>
      <c r="DO19" s="36">
        <v>51025</v>
      </c>
      <c r="DP19" s="36">
        <v>58160</v>
      </c>
      <c r="DQ19" s="36">
        <v>42362</v>
      </c>
      <c r="DR19" s="36">
        <v>38882</v>
      </c>
      <c r="DS19" s="36">
        <v>20017</v>
      </c>
      <c r="DT19" s="36">
        <v>25329</v>
      </c>
      <c r="DU19" s="36">
        <v>25789</v>
      </c>
      <c r="DV19" s="36">
        <v>7206</v>
      </c>
      <c r="DW19" s="36">
        <v>0</v>
      </c>
      <c r="DX19" s="36">
        <v>0</v>
      </c>
      <c r="DY19" s="36">
        <v>0</v>
      </c>
      <c r="DZ19" s="36">
        <v>0</v>
      </c>
      <c r="EA19" s="36">
        <v>1919</v>
      </c>
      <c r="EB19" s="36">
        <v>73731</v>
      </c>
      <c r="EC19" s="36">
        <v>0</v>
      </c>
      <c r="ED19" s="36">
        <v>0</v>
      </c>
      <c r="EE19" s="36">
        <v>37282</v>
      </c>
      <c r="EF19" s="36">
        <v>1428</v>
      </c>
      <c r="EG19" s="36">
        <f aca="true" t="shared" si="70" ref="EG19:EG33">EI19+EK19+EM19+EO19+EQ19+ES19+EU19+EW19+EY19</f>
        <v>631408</v>
      </c>
      <c r="EH19" s="36">
        <f t="shared" si="65"/>
        <v>22067</v>
      </c>
      <c r="EI19" s="36">
        <v>0</v>
      </c>
      <c r="EJ19" s="36">
        <v>0</v>
      </c>
      <c r="EK19" s="36">
        <v>0</v>
      </c>
      <c r="EL19" s="36">
        <v>0</v>
      </c>
      <c r="EM19" s="36">
        <v>399377</v>
      </c>
      <c r="EN19" s="36">
        <v>2857</v>
      </c>
      <c r="EO19" s="36">
        <v>68435</v>
      </c>
      <c r="EP19" s="36">
        <v>13871</v>
      </c>
      <c r="EQ19" s="36">
        <v>0</v>
      </c>
      <c r="ER19" s="36">
        <v>0</v>
      </c>
      <c r="ES19" s="36">
        <v>0</v>
      </c>
      <c r="ET19" s="36">
        <v>0</v>
      </c>
      <c r="EU19" s="36">
        <v>0</v>
      </c>
      <c r="EV19" s="36">
        <v>0</v>
      </c>
      <c r="EW19" s="36">
        <v>160743</v>
      </c>
      <c r="EX19" s="36">
        <v>5339</v>
      </c>
      <c r="EY19" s="36">
        <v>2853</v>
      </c>
      <c r="EZ19" s="36">
        <v>0</v>
      </c>
      <c r="FA19" s="36">
        <f t="shared" si="59"/>
        <v>1573768</v>
      </c>
      <c r="FB19" s="36">
        <f t="shared" si="60"/>
        <v>1543520</v>
      </c>
      <c r="FC19" s="36">
        <f t="shared" si="13"/>
        <v>1573768</v>
      </c>
      <c r="FD19" s="36">
        <f t="shared" si="14"/>
        <v>1543520</v>
      </c>
      <c r="FE19" s="36">
        <v>1371008</v>
      </c>
      <c r="FF19" s="36">
        <v>1267649</v>
      </c>
      <c r="FG19" s="36">
        <v>0</v>
      </c>
      <c r="FH19" s="36">
        <v>0</v>
      </c>
      <c r="FI19" s="36">
        <v>0</v>
      </c>
      <c r="FJ19" s="36">
        <v>0</v>
      </c>
      <c r="FK19" s="36">
        <v>0</v>
      </c>
      <c r="FL19" s="36">
        <v>0</v>
      </c>
      <c r="FM19" s="36">
        <v>0</v>
      </c>
      <c r="FN19" s="36">
        <v>0</v>
      </c>
      <c r="FO19" s="36">
        <v>0</v>
      </c>
      <c r="FP19" s="36">
        <v>0</v>
      </c>
      <c r="FQ19" s="36">
        <v>7579</v>
      </c>
      <c r="FR19" s="36">
        <v>32737</v>
      </c>
      <c r="FS19" s="36">
        <v>51019</v>
      </c>
      <c r="FT19" s="36">
        <v>43470</v>
      </c>
      <c r="FU19" s="36">
        <v>0</v>
      </c>
      <c r="FV19" s="36">
        <v>0</v>
      </c>
      <c r="FW19" s="36">
        <v>19982</v>
      </c>
      <c r="FX19" s="36">
        <v>75484</v>
      </c>
      <c r="FY19" s="36">
        <v>0</v>
      </c>
      <c r="FZ19" s="36">
        <v>0</v>
      </c>
      <c r="GA19" s="36">
        <v>124180</v>
      </c>
      <c r="GB19" s="36">
        <v>124180</v>
      </c>
      <c r="GC19" s="36">
        <f t="shared" si="62"/>
        <v>0</v>
      </c>
      <c r="GD19" s="36">
        <f t="shared" si="63"/>
        <v>0</v>
      </c>
      <c r="GE19" s="36">
        <v>0</v>
      </c>
      <c r="GF19" s="36">
        <v>0</v>
      </c>
      <c r="GG19" s="36">
        <v>0</v>
      </c>
      <c r="GH19" s="36">
        <v>0</v>
      </c>
      <c r="GI19" s="36">
        <v>0</v>
      </c>
      <c r="GJ19" s="36">
        <v>0</v>
      </c>
      <c r="GK19" s="36">
        <v>0</v>
      </c>
      <c r="GL19" s="36">
        <v>0</v>
      </c>
      <c r="GM19" s="36">
        <v>0</v>
      </c>
      <c r="GN19" s="36">
        <v>0</v>
      </c>
      <c r="GO19" s="36">
        <v>0</v>
      </c>
      <c r="GP19" s="36">
        <v>0</v>
      </c>
      <c r="GQ19" s="36">
        <v>0</v>
      </c>
      <c r="GR19" s="36">
        <v>0</v>
      </c>
      <c r="GS19" s="38">
        <v>564.81</v>
      </c>
      <c r="GT19" s="38">
        <v>567.43</v>
      </c>
      <c r="GU19" s="36">
        <v>0</v>
      </c>
      <c r="GV19" s="36">
        <v>0</v>
      </c>
      <c r="GW19" s="63"/>
      <c r="GX19" s="63"/>
      <c r="GY19" s="63"/>
      <c r="GZ19" s="63"/>
      <c r="HA19" s="63"/>
      <c r="HB19" s="31">
        <f t="shared" si="17"/>
        <v>0</v>
      </c>
      <c r="HC19" s="31">
        <f t="shared" si="18"/>
        <v>0</v>
      </c>
    </row>
    <row r="20" spans="1:211" s="9" customFormat="1" ht="17.25" customHeight="1">
      <c r="A20" s="23">
        <v>4</v>
      </c>
      <c r="B20" s="24" t="s">
        <v>190</v>
      </c>
      <c r="C20" s="36">
        <f t="shared" si="19"/>
        <v>7117165</v>
      </c>
      <c r="D20" s="36">
        <f t="shared" si="20"/>
        <v>6926448</v>
      </c>
      <c r="E20" s="36">
        <f t="shared" si="21"/>
        <v>1247987</v>
      </c>
      <c r="F20" s="36">
        <f t="shared" si="22"/>
        <v>1153782</v>
      </c>
      <c r="G20" s="36">
        <f t="shared" si="66"/>
        <v>679074</v>
      </c>
      <c r="H20" s="36">
        <f t="shared" si="66"/>
        <v>589264</v>
      </c>
      <c r="I20" s="36">
        <v>83765</v>
      </c>
      <c r="J20" s="36">
        <v>92264</v>
      </c>
      <c r="K20" s="36">
        <v>595309</v>
      </c>
      <c r="L20" s="36">
        <v>497000</v>
      </c>
      <c r="M20" s="36">
        <f t="shared" si="67"/>
        <v>0</v>
      </c>
      <c r="N20" s="36">
        <f t="shared" si="26"/>
        <v>0</v>
      </c>
      <c r="O20" s="36"/>
      <c r="P20" s="36"/>
      <c r="Q20" s="36"/>
      <c r="R20" s="36"/>
      <c r="S20" s="36">
        <f t="shared" si="27"/>
        <v>283623</v>
      </c>
      <c r="T20" s="36">
        <f t="shared" si="28"/>
        <v>277025</v>
      </c>
      <c r="U20" s="36">
        <v>89009</v>
      </c>
      <c r="V20" s="36">
        <v>60876</v>
      </c>
      <c r="W20" s="36">
        <v>108833</v>
      </c>
      <c r="X20" s="36">
        <v>124285</v>
      </c>
      <c r="Y20" s="36"/>
      <c r="Z20" s="36"/>
      <c r="AA20" s="36"/>
      <c r="AB20" s="36"/>
      <c r="AC20" s="36">
        <v>96967</v>
      </c>
      <c r="AD20" s="36">
        <v>95826</v>
      </c>
      <c r="AE20" s="36">
        <v>-11186</v>
      </c>
      <c r="AF20" s="36">
        <v>-3962</v>
      </c>
      <c r="AG20" s="36">
        <f t="shared" si="30"/>
        <v>253383</v>
      </c>
      <c r="AH20" s="36">
        <f t="shared" si="31"/>
        <v>235723</v>
      </c>
      <c r="AI20" s="36">
        <v>254085</v>
      </c>
      <c r="AJ20" s="36">
        <v>236424</v>
      </c>
      <c r="AK20" s="36">
        <v>-702</v>
      </c>
      <c r="AL20" s="36">
        <v>-701</v>
      </c>
      <c r="AM20" s="36">
        <f t="shared" si="32"/>
        <v>31907</v>
      </c>
      <c r="AN20" s="36">
        <f t="shared" si="33"/>
        <v>51770</v>
      </c>
      <c r="AO20" s="36">
        <v>2591</v>
      </c>
      <c r="AP20" s="36">
        <v>1849</v>
      </c>
      <c r="AQ20" s="36">
        <v>21412</v>
      </c>
      <c r="AR20" s="36">
        <v>41893</v>
      </c>
      <c r="AS20" s="36"/>
      <c r="AT20" s="36"/>
      <c r="AU20" s="36">
        <v>7904</v>
      </c>
      <c r="AV20" s="36">
        <v>8028</v>
      </c>
      <c r="AW20" s="36">
        <f t="shared" si="2"/>
        <v>5869178</v>
      </c>
      <c r="AX20" s="36">
        <f t="shared" si="2"/>
        <v>5772666</v>
      </c>
      <c r="AY20" s="36">
        <f t="shared" si="68"/>
        <v>161683</v>
      </c>
      <c r="AZ20" s="36">
        <f t="shared" si="36"/>
        <v>224241</v>
      </c>
      <c r="BA20" s="36">
        <v>191</v>
      </c>
      <c r="BB20" s="36">
        <v>191</v>
      </c>
      <c r="BC20" s="36"/>
      <c r="BD20" s="36"/>
      <c r="BE20" s="36"/>
      <c r="BF20" s="36"/>
      <c r="BG20" s="36">
        <v>161492</v>
      </c>
      <c r="BH20" s="36">
        <v>224050</v>
      </c>
      <c r="BI20" s="36"/>
      <c r="BJ20" s="36"/>
      <c r="BK20" s="36">
        <f t="shared" si="69"/>
        <v>4693062</v>
      </c>
      <c r="BL20" s="36">
        <f t="shared" si="4"/>
        <v>4604988</v>
      </c>
      <c r="BM20" s="36">
        <f>BO20+BQ20</f>
        <v>2530400</v>
      </c>
      <c r="BN20" s="36">
        <f t="shared" si="39"/>
        <v>2505834</v>
      </c>
      <c r="BO20" s="36">
        <v>6644809</v>
      </c>
      <c r="BP20" s="36">
        <v>6046289</v>
      </c>
      <c r="BQ20" s="36">
        <v>-4114409</v>
      </c>
      <c r="BR20" s="36">
        <v>-3540455</v>
      </c>
      <c r="BS20" s="36">
        <f t="shared" si="40"/>
        <v>0</v>
      </c>
      <c r="BT20" s="36">
        <f t="shared" si="41"/>
        <v>0</v>
      </c>
      <c r="BU20" s="36"/>
      <c r="BV20" s="36"/>
      <c r="BW20" s="36"/>
      <c r="BX20" s="36"/>
      <c r="BY20" s="36">
        <f t="shared" si="42"/>
        <v>17745</v>
      </c>
      <c r="BZ20" s="36">
        <f t="shared" si="43"/>
        <v>21324</v>
      </c>
      <c r="CA20" s="36">
        <v>36128</v>
      </c>
      <c r="CB20" s="36">
        <v>34837</v>
      </c>
      <c r="CC20" s="37">
        <v>-18383</v>
      </c>
      <c r="CD20" s="37">
        <v>-13513</v>
      </c>
      <c r="CE20" s="36">
        <v>2144917</v>
      </c>
      <c r="CF20" s="36">
        <v>2077830</v>
      </c>
      <c r="CG20" s="36">
        <f t="shared" si="45"/>
        <v>0</v>
      </c>
      <c r="CH20" s="36">
        <f t="shared" si="46"/>
        <v>0</v>
      </c>
      <c r="CI20" s="36"/>
      <c r="CJ20" s="36"/>
      <c r="CK20" s="36"/>
      <c r="CL20" s="36"/>
      <c r="CM20" s="36">
        <f t="shared" si="47"/>
        <v>1011627</v>
      </c>
      <c r="CN20" s="36">
        <f t="shared" si="48"/>
        <v>940992</v>
      </c>
      <c r="CO20" s="36">
        <v>813462</v>
      </c>
      <c r="CP20" s="36">
        <v>762849</v>
      </c>
      <c r="CQ20" s="36">
        <v>47458</v>
      </c>
      <c r="CR20" s="36">
        <v>47458</v>
      </c>
      <c r="CS20" s="36">
        <v>150707</v>
      </c>
      <c r="CT20" s="36">
        <v>130685</v>
      </c>
      <c r="CU20" s="36"/>
      <c r="CV20" s="36"/>
      <c r="CW20" s="36">
        <f t="shared" si="50"/>
        <v>2806</v>
      </c>
      <c r="CX20" s="36">
        <f t="shared" si="51"/>
        <v>2445</v>
      </c>
      <c r="CY20" s="36">
        <v>371</v>
      </c>
      <c r="CZ20" s="36">
        <v>0</v>
      </c>
      <c r="DA20" s="36">
        <v>2435</v>
      </c>
      <c r="DB20" s="36">
        <v>2445</v>
      </c>
      <c r="DC20" s="36"/>
      <c r="DD20" s="36"/>
      <c r="DE20" s="36">
        <f t="shared" si="53"/>
        <v>7117165</v>
      </c>
      <c r="DF20" s="36">
        <f t="shared" si="54"/>
        <v>6926448</v>
      </c>
      <c r="DG20" s="36">
        <f t="shared" si="55"/>
        <v>2444924</v>
      </c>
      <c r="DH20" s="36">
        <f t="shared" si="56"/>
        <v>2365181</v>
      </c>
      <c r="DI20" s="36">
        <f t="shared" si="8"/>
        <v>330657</v>
      </c>
      <c r="DJ20" s="36">
        <f t="shared" si="9"/>
        <v>296740</v>
      </c>
      <c r="DK20" s="36"/>
      <c r="DL20" s="36"/>
      <c r="DM20" s="36">
        <v>187627</v>
      </c>
      <c r="DN20" s="36">
        <v>142135</v>
      </c>
      <c r="DO20" s="36">
        <v>302</v>
      </c>
      <c r="DP20" s="36">
        <v>496</v>
      </c>
      <c r="DQ20" s="36">
        <v>14924</v>
      </c>
      <c r="DR20" s="36">
        <v>16498</v>
      </c>
      <c r="DS20" s="36">
        <v>61164</v>
      </c>
      <c r="DT20" s="36">
        <v>41169</v>
      </c>
      <c r="DU20" s="36">
        <v>86</v>
      </c>
      <c r="DV20" s="36">
        <v>0</v>
      </c>
      <c r="DW20" s="36"/>
      <c r="DX20" s="36"/>
      <c r="DY20" s="36"/>
      <c r="DZ20" s="36"/>
      <c r="EA20" s="36">
        <v>48500</v>
      </c>
      <c r="EB20" s="36">
        <v>53359</v>
      </c>
      <c r="EC20" s="36"/>
      <c r="ED20" s="36"/>
      <c r="EE20" s="36">
        <v>18054</v>
      </c>
      <c r="EF20" s="36">
        <v>43083</v>
      </c>
      <c r="EG20" s="36">
        <f t="shared" si="70"/>
        <v>2114267</v>
      </c>
      <c r="EH20" s="36">
        <f t="shared" si="65"/>
        <v>2068441</v>
      </c>
      <c r="EI20" s="36">
        <v>121584</v>
      </c>
      <c r="EJ20" s="36">
        <v>97688</v>
      </c>
      <c r="EK20" s="36"/>
      <c r="EL20" s="36"/>
      <c r="EM20" s="36">
        <v>818356</v>
      </c>
      <c r="EN20" s="36">
        <v>800121</v>
      </c>
      <c r="EO20" s="36">
        <v>1170727</v>
      </c>
      <c r="EP20" s="36">
        <v>1161662</v>
      </c>
      <c r="EQ20" s="36"/>
      <c r="ER20" s="36"/>
      <c r="ES20" s="36"/>
      <c r="ET20" s="36"/>
      <c r="EU20" s="36"/>
      <c r="EV20" s="36"/>
      <c r="EW20" s="36">
        <v>0</v>
      </c>
      <c r="EX20" s="36">
        <v>5370</v>
      </c>
      <c r="EY20" s="36">
        <v>3600</v>
      </c>
      <c r="EZ20" s="36">
        <v>3600</v>
      </c>
      <c r="FA20" s="36">
        <f t="shared" si="59"/>
        <v>4672241</v>
      </c>
      <c r="FB20" s="36">
        <f t="shared" si="60"/>
        <v>4561267</v>
      </c>
      <c r="FC20" s="36">
        <f t="shared" si="13"/>
        <v>4671145</v>
      </c>
      <c r="FD20" s="36">
        <f t="shared" si="14"/>
        <v>4551010</v>
      </c>
      <c r="FE20" s="36">
        <v>4117951</v>
      </c>
      <c r="FF20" s="36">
        <v>3098173</v>
      </c>
      <c r="FG20" s="36"/>
      <c r="FH20" s="36"/>
      <c r="FI20" s="36"/>
      <c r="FJ20" s="36">
        <v>27118</v>
      </c>
      <c r="FK20" s="36"/>
      <c r="FL20" s="36"/>
      <c r="FM20" s="36"/>
      <c r="FN20" s="36"/>
      <c r="FO20" s="36">
        <v>7690</v>
      </c>
      <c r="FP20" s="36">
        <v>4616</v>
      </c>
      <c r="FQ20" s="36">
        <v>85647</v>
      </c>
      <c r="FR20" s="36"/>
      <c r="FS20" s="36"/>
      <c r="FT20" s="36">
        <v>46568</v>
      </c>
      <c r="FU20" s="36"/>
      <c r="FV20" s="36"/>
      <c r="FW20" s="36">
        <v>36549</v>
      </c>
      <c r="FX20" s="36">
        <v>122882</v>
      </c>
      <c r="FY20" s="36"/>
      <c r="FZ20" s="36">
        <v>848548</v>
      </c>
      <c r="GA20" s="36">
        <v>423308</v>
      </c>
      <c r="GB20" s="36">
        <v>403105</v>
      </c>
      <c r="GC20" s="36">
        <f t="shared" si="62"/>
        <v>1096</v>
      </c>
      <c r="GD20" s="36">
        <f t="shared" si="63"/>
        <v>10257</v>
      </c>
      <c r="GE20" s="36"/>
      <c r="GF20" s="36"/>
      <c r="GG20" s="36">
        <v>1096</v>
      </c>
      <c r="GH20" s="36">
        <v>10251</v>
      </c>
      <c r="GI20" s="36"/>
      <c r="GJ20" s="36">
        <v>6</v>
      </c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63"/>
      <c r="GX20" s="63"/>
      <c r="GY20" s="63"/>
      <c r="GZ20" s="63"/>
      <c r="HA20" s="63"/>
      <c r="HB20" s="31">
        <f t="shared" si="17"/>
        <v>0</v>
      </c>
      <c r="HC20" s="31">
        <f t="shared" si="18"/>
        <v>0</v>
      </c>
    </row>
    <row r="21" spans="1:212" s="35" customFormat="1" ht="29.25" customHeight="1">
      <c r="A21" s="23">
        <v>5</v>
      </c>
      <c r="B21" s="107" t="s">
        <v>191</v>
      </c>
      <c r="C21" s="36">
        <f t="shared" si="19"/>
        <v>4031992</v>
      </c>
      <c r="D21" s="36">
        <f t="shared" si="20"/>
        <v>3316808.2</v>
      </c>
      <c r="E21" s="36">
        <f t="shared" si="21"/>
        <v>2461974</v>
      </c>
      <c r="F21" s="36">
        <f t="shared" si="22"/>
        <v>1959038.2000000002</v>
      </c>
      <c r="G21" s="36">
        <f t="shared" si="66"/>
        <v>800451</v>
      </c>
      <c r="H21" s="36">
        <f t="shared" si="66"/>
        <v>298382</v>
      </c>
      <c r="I21" s="36">
        <v>68759</v>
      </c>
      <c r="J21" s="36">
        <v>56636</v>
      </c>
      <c r="K21" s="36">
        <v>731692</v>
      </c>
      <c r="L21" s="36">
        <v>241746</v>
      </c>
      <c r="M21" s="36">
        <f t="shared" si="67"/>
        <v>429408</v>
      </c>
      <c r="N21" s="36">
        <f t="shared" si="26"/>
        <v>541000</v>
      </c>
      <c r="O21" s="36">
        <v>429408</v>
      </c>
      <c r="P21" s="36">
        <v>541000</v>
      </c>
      <c r="Q21" s="36"/>
      <c r="R21" s="36"/>
      <c r="S21" s="36">
        <f t="shared" si="27"/>
        <v>540090</v>
      </c>
      <c r="T21" s="36">
        <f t="shared" si="28"/>
        <v>404616.2000000002</v>
      </c>
      <c r="U21" s="36">
        <v>314612</v>
      </c>
      <c r="V21" s="36">
        <v>273905</v>
      </c>
      <c r="W21" s="36">
        <v>89259</v>
      </c>
      <c r="X21" s="36">
        <v>31491</v>
      </c>
      <c r="Y21" s="36"/>
      <c r="Z21" s="36"/>
      <c r="AA21" s="36"/>
      <c r="AB21" s="36"/>
      <c r="AC21" s="36">
        <v>136510</v>
      </c>
      <c r="AD21" s="36">
        <f>99512+0.200000000186265</f>
        <v>99512.20000000019</v>
      </c>
      <c r="AE21" s="36">
        <v>-291</v>
      </c>
      <c r="AF21" s="36">
        <v>-292</v>
      </c>
      <c r="AG21" s="36">
        <f t="shared" si="30"/>
        <v>671049</v>
      </c>
      <c r="AH21" s="36">
        <f t="shared" si="31"/>
        <v>689800</v>
      </c>
      <c r="AI21" s="36">
        <v>671049</v>
      </c>
      <c r="AJ21" s="36">
        <v>689800</v>
      </c>
      <c r="AK21" s="36"/>
      <c r="AL21" s="36"/>
      <c r="AM21" s="36">
        <f t="shared" si="32"/>
        <v>20976</v>
      </c>
      <c r="AN21" s="36">
        <f t="shared" si="33"/>
        <v>25240</v>
      </c>
      <c r="AO21" s="36">
        <v>3681</v>
      </c>
      <c r="AP21" s="36">
        <v>2006</v>
      </c>
      <c r="AQ21" s="36">
        <v>14820</v>
      </c>
      <c r="AR21" s="36">
        <v>21056</v>
      </c>
      <c r="AS21" s="36">
        <v>0</v>
      </c>
      <c r="AT21" s="36">
        <v>0</v>
      </c>
      <c r="AU21" s="36">
        <v>2475</v>
      </c>
      <c r="AV21" s="36">
        <v>2178</v>
      </c>
      <c r="AW21" s="36">
        <f t="shared" si="2"/>
        <v>1570018</v>
      </c>
      <c r="AX21" s="36">
        <f>AZ21+BL21+CH21+CN21+CX21</f>
        <v>1357770</v>
      </c>
      <c r="AY21" s="36">
        <f t="shared" si="68"/>
        <v>0</v>
      </c>
      <c r="AZ21" s="36">
        <f t="shared" si="36"/>
        <v>0</v>
      </c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>
        <f t="shared" si="69"/>
        <v>589118</v>
      </c>
      <c r="BL21" s="36">
        <f t="shared" si="4"/>
        <v>459622</v>
      </c>
      <c r="BM21" s="36">
        <f>BO21+BQ21</f>
        <v>152220</v>
      </c>
      <c r="BN21" s="36">
        <f t="shared" si="39"/>
        <v>204160</v>
      </c>
      <c r="BO21" s="36">
        <v>458882</v>
      </c>
      <c r="BP21" s="36">
        <v>469473</v>
      </c>
      <c r="BQ21" s="36">
        <v>-306662</v>
      </c>
      <c r="BR21" s="36">
        <v>-265313</v>
      </c>
      <c r="BS21" s="36">
        <f t="shared" si="40"/>
        <v>0</v>
      </c>
      <c r="BT21" s="36">
        <f t="shared" si="41"/>
        <v>0</v>
      </c>
      <c r="BU21" s="36"/>
      <c r="BV21" s="36"/>
      <c r="BW21" s="36"/>
      <c r="BX21" s="36"/>
      <c r="BY21" s="36">
        <f t="shared" si="42"/>
        <v>1188</v>
      </c>
      <c r="BZ21" s="36">
        <f t="shared" si="43"/>
        <v>1834</v>
      </c>
      <c r="CA21" s="36">
        <v>5639</v>
      </c>
      <c r="CB21" s="36">
        <v>5442</v>
      </c>
      <c r="CC21" s="37">
        <v>-4451</v>
      </c>
      <c r="CD21" s="37">
        <v>-3608</v>
      </c>
      <c r="CE21" s="36">
        <v>435710</v>
      </c>
      <c r="CF21" s="36">
        <v>253628</v>
      </c>
      <c r="CG21" s="36">
        <f t="shared" si="45"/>
        <v>0</v>
      </c>
      <c r="CH21" s="36">
        <f t="shared" si="46"/>
        <v>0</v>
      </c>
      <c r="CI21" s="36"/>
      <c r="CJ21" s="36"/>
      <c r="CK21" s="36"/>
      <c r="CL21" s="36"/>
      <c r="CM21" s="36">
        <f t="shared" si="47"/>
        <v>920010</v>
      </c>
      <c r="CN21" s="36">
        <f t="shared" si="48"/>
        <v>836031</v>
      </c>
      <c r="CO21" s="36">
        <v>558915</v>
      </c>
      <c r="CP21" s="36">
        <v>577262</v>
      </c>
      <c r="CQ21" s="36">
        <v>291732</v>
      </c>
      <c r="CR21" s="36">
        <v>186252</v>
      </c>
      <c r="CS21" s="36">
        <v>139304</v>
      </c>
      <c r="CT21" s="36">
        <v>138392</v>
      </c>
      <c r="CU21" s="36">
        <v>-69941</v>
      </c>
      <c r="CV21" s="36">
        <v>-65875</v>
      </c>
      <c r="CW21" s="36">
        <f t="shared" si="50"/>
        <v>60890</v>
      </c>
      <c r="CX21" s="36">
        <f t="shared" si="51"/>
        <v>62117</v>
      </c>
      <c r="CY21" s="36">
        <v>60871</v>
      </c>
      <c r="CZ21" s="36">
        <v>62098</v>
      </c>
      <c r="DA21" s="36"/>
      <c r="DB21" s="36"/>
      <c r="DC21" s="36">
        <v>19</v>
      </c>
      <c r="DD21" s="36">
        <v>19</v>
      </c>
      <c r="DE21" s="36">
        <f t="shared" si="53"/>
        <v>4031992</v>
      </c>
      <c r="DF21" s="36">
        <f t="shared" si="54"/>
        <v>3316808.2</v>
      </c>
      <c r="DG21" s="36">
        <f t="shared" si="55"/>
        <v>1684138</v>
      </c>
      <c r="DH21" s="36">
        <f t="shared" si="56"/>
        <v>1122409</v>
      </c>
      <c r="DI21" s="36">
        <f t="shared" si="8"/>
        <v>1475314</v>
      </c>
      <c r="DJ21" s="36">
        <f t="shared" si="9"/>
        <v>920143</v>
      </c>
      <c r="DK21" s="36">
        <v>716879</v>
      </c>
      <c r="DL21" s="36">
        <v>254581</v>
      </c>
      <c r="DM21" s="36">
        <v>220840</v>
      </c>
      <c r="DN21" s="36">
        <v>205215</v>
      </c>
      <c r="DO21" s="36">
        <v>169</v>
      </c>
      <c r="DP21" s="36">
        <v>190</v>
      </c>
      <c r="DQ21" s="36">
        <v>307148</v>
      </c>
      <c r="DR21" s="36">
        <v>334636</v>
      </c>
      <c r="DS21" s="36">
        <v>59354</v>
      </c>
      <c r="DT21" s="36">
        <v>12488</v>
      </c>
      <c r="DU21" s="36">
        <v>2504</v>
      </c>
      <c r="DV21" s="36">
        <v>2311</v>
      </c>
      <c r="DW21" s="36"/>
      <c r="DX21" s="36"/>
      <c r="DY21" s="36"/>
      <c r="DZ21" s="36"/>
      <c r="EA21" s="36">
        <v>124156</v>
      </c>
      <c r="EB21" s="36">
        <v>82770</v>
      </c>
      <c r="EC21" s="36"/>
      <c r="ED21" s="36"/>
      <c r="EE21" s="36">
        <v>44264</v>
      </c>
      <c r="EF21" s="36">
        <v>27952</v>
      </c>
      <c r="EG21" s="36">
        <f t="shared" si="70"/>
        <v>208824</v>
      </c>
      <c r="EH21" s="36">
        <f t="shared" si="65"/>
        <v>202266</v>
      </c>
      <c r="EI21" s="36"/>
      <c r="EJ21" s="36"/>
      <c r="EK21" s="36"/>
      <c r="EL21" s="36"/>
      <c r="EM21" s="36">
        <v>2255</v>
      </c>
      <c r="EN21" s="36">
        <v>2430</v>
      </c>
      <c r="EO21" s="36">
        <v>89245</v>
      </c>
      <c r="EP21" s="36">
        <v>122152</v>
      </c>
      <c r="EQ21" s="36"/>
      <c r="ER21" s="36"/>
      <c r="ES21" s="36"/>
      <c r="ET21" s="36"/>
      <c r="EU21" s="36"/>
      <c r="EV21" s="36"/>
      <c r="EW21" s="36"/>
      <c r="EX21" s="36"/>
      <c r="EY21" s="36">
        <v>117324</v>
      </c>
      <c r="EZ21" s="36">
        <v>77684</v>
      </c>
      <c r="FA21" s="36">
        <f t="shared" si="59"/>
        <v>2347854</v>
      </c>
      <c r="FB21" s="36">
        <f t="shared" si="60"/>
        <v>2194399.2</v>
      </c>
      <c r="FC21" s="36">
        <f t="shared" si="13"/>
        <v>2332154</v>
      </c>
      <c r="FD21" s="36">
        <f t="shared" si="14"/>
        <v>2194399</v>
      </c>
      <c r="FE21" s="36">
        <v>1122547</v>
      </c>
      <c r="FF21" s="36">
        <v>1159595</v>
      </c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>
        <v>625439</v>
      </c>
      <c r="FR21" s="36">
        <v>335405</v>
      </c>
      <c r="FS21" s="36"/>
      <c r="FT21" s="36">
        <v>196731</v>
      </c>
      <c r="FU21" s="36">
        <v>643</v>
      </c>
      <c r="FV21" s="36">
        <v>616</v>
      </c>
      <c r="FW21" s="36">
        <v>583478</v>
      </c>
      <c r="FX21" s="36">
        <v>502005</v>
      </c>
      <c r="FY21" s="36">
        <v>47</v>
      </c>
      <c r="FZ21" s="36">
        <v>47</v>
      </c>
      <c r="GA21" s="36"/>
      <c r="GB21" s="36"/>
      <c r="GC21" s="36">
        <f t="shared" si="62"/>
        <v>15700</v>
      </c>
      <c r="GD21" s="36">
        <f t="shared" si="63"/>
        <v>0.2</v>
      </c>
      <c r="GE21" s="36"/>
      <c r="GF21" s="38"/>
      <c r="GG21" s="36">
        <v>15700</v>
      </c>
      <c r="GH21" s="38">
        <v>0.2</v>
      </c>
      <c r="GI21" s="36"/>
      <c r="GJ21" s="36"/>
      <c r="GK21" s="36"/>
      <c r="GL21" s="36"/>
      <c r="GM21" s="36"/>
      <c r="GN21" s="36"/>
      <c r="GO21" s="36"/>
      <c r="GP21" s="36"/>
      <c r="GQ21" s="36">
        <v>5004</v>
      </c>
      <c r="GR21" s="36">
        <v>5004</v>
      </c>
      <c r="GS21" s="39" t="s">
        <v>252</v>
      </c>
      <c r="GT21" s="39" t="s">
        <v>253</v>
      </c>
      <c r="GU21" s="36"/>
      <c r="GV21" s="36"/>
      <c r="GW21" s="65"/>
      <c r="GX21" s="65"/>
      <c r="GY21" s="65"/>
      <c r="GZ21" s="65"/>
      <c r="HA21" s="65"/>
      <c r="HB21" s="33">
        <f t="shared" si="17"/>
        <v>0</v>
      </c>
      <c r="HC21" s="33">
        <f t="shared" si="18"/>
        <v>0</v>
      </c>
      <c r="HD21" s="34"/>
    </row>
    <row r="22" spans="1:214" s="8" customFormat="1" ht="17.25" customHeight="1">
      <c r="A22" s="19">
        <v>6</v>
      </c>
      <c r="B22" s="20" t="s">
        <v>192</v>
      </c>
      <c r="C22" s="40">
        <f t="shared" si="19"/>
        <v>1577704</v>
      </c>
      <c r="D22" s="40">
        <f t="shared" si="20"/>
        <v>1544082.715</v>
      </c>
      <c r="E22" s="40">
        <f t="shared" si="21"/>
        <v>502693</v>
      </c>
      <c r="F22" s="40">
        <f t="shared" si="22"/>
        <v>460160.715</v>
      </c>
      <c r="G22" s="40">
        <f t="shared" si="66"/>
        <v>97655</v>
      </c>
      <c r="H22" s="40">
        <f t="shared" si="66"/>
        <v>126215</v>
      </c>
      <c r="I22" s="40">
        <v>87655</v>
      </c>
      <c r="J22" s="40">
        <v>51215</v>
      </c>
      <c r="K22" s="40">
        <v>10000</v>
      </c>
      <c r="L22" s="40">
        <v>75000</v>
      </c>
      <c r="M22" s="40">
        <f t="shared" si="67"/>
        <v>40000</v>
      </c>
      <c r="N22" s="40">
        <f t="shared" si="26"/>
        <v>1750</v>
      </c>
      <c r="O22" s="40">
        <v>40000</v>
      </c>
      <c r="P22" s="40">
        <v>1750</v>
      </c>
      <c r="Q22" s="40">
        <v>0</v>
      </c>
      <c r="R22" s="40">
        <v>0</v>
      </c>
      <c r="S22" s="40">
        <f t="shared" si="27"/>
        <v>202023</v>
      </c>
      <c r="T22" s="40">
        <f t="shared" si="28"/>
        <v>167606</v>
      </c>
      <c r="U22" s="40">
        <v>172052</v>
      </c>
      <c r="V22" s="40">
        <v>133645</v>
      </c>
      <c r="W22" s="40">
        <v>9945</v>
      </c>
      <c r="X22" s="40">
        <v>13118</v>
      </c>
      <c r="Y22" s="40">
        <v>0</v>
      </c>
      <c r="Z22" s="40">
        <v>0</v>
      </c>
      <c r="AA22" s="40">
        <v>0</v>
      </c>
      <c r="AB22" s="40">
        <v>0</v>
      </c>
      <c r="AC22" s="40">
        <v>23709</v>
      </c>
      <c r="AD22" s="40">
        <v>24322</v>
      </c>
      <c r="AE22" s="36">
        <v>-3683</v>
      </c>
      <c r="AF22" s="36">
        <v>-3479</v>
      </c>
      <c r="AG22" s="40">
        <f t="shared" si="30"/>
        <v>149846</v>
      </c>
      <c r="AH22" s="40">
        <f t="shared" si="31"/>
        <v>157936</v>
      </c>
      <c r="AI22" s="40">
        <v>154873</v>
      </c>
      <c r="AJ22" s="40">
        <v>167433</v>
      </c>
      <c r="AK22" s="36">
        <v>-5027</v>
      </c>
      <c r="AL22" s="36">
        <v>-9497</v>
      </c>
      <c r="AM22" s="40">
        <f t="shared" si="32"/>
        <v>13169</v>
      </c>
      <c r="AN22" s="40">
        <f t="shared" si="33"/>
        <v>6653.715</v>
      </c>
      <c r="AO22" s="40">
        <v>0</v>
      </c>
      <c r="AP22" s="40">
        <v>0.715</v>
      </c>
      <c r="AQ22" s="40">
        <v>9970</v>
      </c>
      <c r="AR22" s="40">
        <v>5707</v>
      </c>
      <c r="AS22" s="40">
        <v>1225</v>
      </c>
      <c r="AT22" s="40"/>
      <c r="AU22" s="40">
        <v>1974</v>
      </c>
      <c r="AV22" s="40">
        <v>946</v>
      </c>
      <c r="AW22" s="40">
        <f t="shared" si="2"/>
        <v>1075011</v>
      </c>
      <c r="AX22" s="40">
        <f t="shared" si="2"/>
        <v>1083922</v>
      </c>
      <c r="AY22" s="40">
        <f t="shared" si="68"/>
        <v>0</v>
      </c>
      <c r="AZ22" s="40">
        <f t="shared" si="36"/>
        <v>0</v>
      </c>
      <c r="BA22" s="40"/>
      <c r="BB22" s="40"/>
      <c r="BC22" s="40"/>
      <c r="BD22" s="40"/>
      <c r="BE22" s="40"/>
      <c r="BF22" s="40"/>
      <c r="BG22" s="40"/>
      <c r="BH22" s="40"/>
      <c r="BI22" s="36"/>
      <c r="BJ22" s="36"/>
      <c r="BK22" s="41">
        <f t="shared" si="69"/>
        <v>700941</v>
      </c>
      <c r="BL22" s="40">
        <f t="shared" si="4"/>
        <v>690286</v>
      </c>
      <c r="BM22" s="40">
        <f>BO22+BQ22</f>
        <v>328289</v>
      </c>
      <c r="BN22" s="40">
        <f t="shared" si="39"/>
        <v>318186</v>
      </c>
      <c r="BO22" s="40">
        <v>704423</v>
      </c>
      <c r="BP22" s="40">
        <v>676781</v>
      </c>
      <c r="BQ22" s="36">
        <v>-376134</v>
      </c>
      <c r="BR22" s="36">
        <v>-358595</v>
      </c>
      <c r="BS22" s="40">
        <f t="shared" si="40"/>
        <v>0</v>
      </c>
      <c r="BT22" s="40">
        <f t="shared" si="41"/>
        <v>0</v>
      </c>
      <c r="BU22" s="40"/>
      <c r="BV22" s="40"/>
      <c r="BW22" s="40"/>
      <c r="BX22" s="40"/>
      <c r="BY22" s="40">
        <f t="shared" si="42"/>
        <v>4224</v>
      </c>
      <c r="BZ22" s="40">
        <f t="shared" si="43"/>
        <v>3860</v>
      </c>
      <c r="CA22" s="40">
        <v>4402</v>
      </c>
      <c r="CB22" s="40">
        <v>3947</v>
      </c>
      <c r="CC22" s="37">
        <v>-178</v>
      </c>
      <c r="CD22" s="37">
        <v>-87</v>
      </c>
      <c r="CE22" s="40">
        <v>368428</v>
      </c>
      <c r="CF22" s="40">
        <v>368240</v>
      </c>
      <c r="CG22" s="40">
        <f t="shared" si="45"/>
        <v>0</v>
      </c>
      <c r="CH22" s="40">
        <f t="shared" si="46"/>
        <v>0</v>
      </c>
      <c r="CI22" s="40"/>
      <c r="CJ22" s="40"/>
      <c r="CK22" s="36"/>
      <c r="CL22" s="36"/>
      <c r="CM22" s="40">
        <f t="shared" si="47"/>
        <v>315942</v>
      </c>
      <c r="CN22" s="40">
        <f t="shared" si="48"/>
        <v>333424</v>
      </c>
      <c r="CO22" s="40">
        <v>155368</v>
      </c>
      <c r="CP22" s="40">
        <v>166608</v>
      </c>
      <c r="CQ22" s="40">
        <v>117754</v>
      </c>
      <c r="CR22" s="40">
        <v>125276</v>
      </c>
      <c r="CS22" s="40">
        <v>98596</v>
      </c>
      <c r="CT22" s="40">
        <v>94966</v>
      </c>
      <c r="CU22" s="36">
        <v>-55776</v>
      </c>
      <c r="CV22" s="36">
        <v>-53426</v>
      </c>
      <c r="CW22" s="40">
        <f t="shared" si="50"/>
        <v>58128</v>
      </c>
      <c r="CX22" s="40">
        <f t="shared" si="51"/>
        <v>60212</v>
      </c>
      <c r="CY22" s="40">
        <v>58063</v>
      </c>
      <c r="CZ22" s="40">
        <v>60142</v>
      </c>
      <c r="DA22" s="40"/>
      <c r="DB22" s="40"/>
      <c r="DC22" s="40">
        <v>65</v>
      </c>
      <c r="DD22" s="40">
        <v>70</v>
      </c>
      <c r="DE22" s="40">
        <f t="shared" si="53"/>
        <v>1577704</v>
      </c>
      <c r="DF22" s="40">
        <f t="shared" si="54"/>
        <v>1544083</v>
      </c>
      <c r="DG22" s="40">
        <f t="shared" si="55"/>
        <v>613162</v>
      </c>
      <c r="DH22" s="40">
        <f t="shared" si="56"/>
        <v>614181</v>
      </c>
      <c r="DI22" s="40">
        <f t="shared" si="8"/>
        <v>568888</v>
      </c>
      <c r="DJ22" s="40">
        <f t="shared" si="9"/>
        <v>239518</v>
      </c>
      <c r="DK22" s="40">
        <v>162960</v>
      </c>
      <c r="DL22" s="40">
        <v>127315</v>
      </c>
      <c r="DM22" s="40">
        <v>36063</v>
      </c>
      <c r="DN22" s="40">
        <v>43524</v>
      </c>
      <c r="DO22" s="40">
        <v>3647</v>
      </c>
      <c r="DP22" s="40">
        <v>3232</v>
      </c>
      <c r="DQ22" s="40">
        <v>29302</v>
      </c>
      <c r="DR22" s="40">
        <v>13150</v>
      </c>
      <c r="DS22" s="40">
        <v>16363</v>
      </c>
      <c r="DT22" s="36">
        <v>-593</v>
      </c>
      <c r="DU22" s="40">
        <v>2500</v>
      </c>
      <c r="DV22" s="40">
        <v>956</v>
      </c>
      <c r="DW22" s="40"/>
      <c r="DX22" s="40"/>
      <c r="DY22" s="40"/>
      <c r="DZ22" s="40"/>
      <c r="EA22" s="40">
        <v>287429</v>
      </c>
      <c r="EB22" s="40">
        <v>1064</v>
      </c>
      <c r="EC22" s="40"/>
      <c r="ED22" s="40"/>
      <c r="EE22" s="40">
        <v>30624</v>
      </c>
      <c r="EF22" s="40">
        <v>50870</v>
      </c>
      <c r="EG22" s="36">
        <f t="shared" si="70"/>
        <v>44274</v>
      </c>
      <c r="EH22" s="36">
        <f t="shared" si="65"/>
        <v>374663</v>
      </c>
      <c r="EI22" s="40"/>
      <c r="EJ22" s="40"/>
      <c r="EK22" s="40"/>
      <c r="EL22" s="40"/>
      <c r="EM22" s="40">
        <v>384</v>
      </c>
      <c r="EN22" s="40">
        <v>287146</v>
      </c>
      <c r="EO22" s="40">
        <v>35533</v>
      </c>
      <c r="EP22" s="40">
        <v>84160</v>
      </c>
      <c r="EQ22" s="40"/>
      <c r="ER22" s="40"/>
      <c r="ES22" s="40"/>
      <c r="ET22" s="40"/>
      <c r="EU22" s="40"/>
      <c r="EV22" s="40"/>
      <c r="EW22" s="40"/>
      <c r="EX22" s="40"/>
      <c r="EY22" s="40">
        <v>8357</v>
      </c>
      <c r="EZ22" s="40">
        <v>3357</v>
      </c>
      <c r="FA22" s="40">
        <f t="shared" si="59"/>
        <v>964542</v>
      </c>
      <c r="FB22" s="40">
        <f t="shared" si="60"/>
        <v>929902</v>
      </c>
      <c r="FC22" s="40">
        <f t="shared" si="13"/>
        <v>964542</v>
      </c>
      <c r="FD22" s="40">
        <f t="shared" si="14"/>
        <v>929902</v>
      </c>
      <c r="FE22" s="40">
        <v>805635</v>
      </c>
      <c r="FF22" s="40">
        <v>747770</v>
      </c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>
        <v>-2812</v>
      </c>
      <c r="FR22" s="40"/>
      <c r="FS22" s="40"/>
      <c r="FT22" s="40">
        <v>1078</v>
      </c>
      <c r="FU22" s="40"/>
      <c r="FV22" s="40"/>
      <c r="FW22" s="40">
        <v>76558</v>
      </c>
      <c r="FX22" s="40">
        <v>98579</v>
      </c>
      <c r="FY22" s="40">
        <v>4140</v>
      </c>
      <c r="FZ22" s="40">
        <v>4140</v>
      </c>
      <c r="GA22" s="40">
        <v>81021</v>
      </c>
      <c r="GB22" s="40">
        <v>78335</v>
      </c>
      <c r="GC22" s="40">
        <f t="shared" si="62"/>
        <v>0</v>
      </c>
      <c r="GD22" s="40">
        <f t="shared" si="63"/>
        <v>0</v>
      </c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>
        <v>9928</v>
      </c>
      <c r="GR22" s="40">
        <v>9325</v>
      </c>
      <c r="GS22" s="40">
        <v>3317</v>
      </c>
      <c r="GT22" s="40">
        <v>3163</v>
      </c>
      <c r="GU22" s="40"/>
      <c r="GV22" s="40"/>
      <c r="GW22" s="60"/>
      <c r="GX22" s="60"/>
      <c r="GY22" s="60"/>
      <c r="GZ22" s="60"/>
      <c r="HA22" s="60"/>
      <c r="HB22" s="31">
        <f t="shared" si="17"/>
        <v>0</v>
      </c>
      <c r="HC22" s="31">
        <f t="shared" si="18"/>
        <v>-0.28499999991618097</v>
      </c>
      <c r="HD22" s="7"/>
      <c r="HE22" s="7"/>
      <c r="HF22" s="7"/>
    </row>
    <row r="23" spans="1:214" s="8" customFormat="1" ht="17.25" customHeight="1">
      <c r="A23" s="19">
        <v>7</v>
      </c>
      <c r="B23" s="20" t="s">
        <v>193</v>
      </c>
      <c r="C23" s="40">
        <f t="shared" si="19"/>
        <v>2475879</v>
      </c>
      <c r="D23" s="40">
        <f t="shared" si="20"/>
        <v>1992502</v>
      </c>
      <c r="E23" s="40">
        <f t="shared" si="21"/>
        <v>1098510</v>
      </c>
      <c r="F23" s="40">
        <f t="shared" si="22"/>
        <v>870091</v>
      </c>
      <c r="G23" s="40">
        <f t="shared" si="66"/>
        <v>675415</v>
      </c>
      <c r="H23" s="40">
        <f t="shared" si="66"/>
        <v>301001</v>
      </c>
      <c r="I23" s="40">
        <v>401226</v>
      </c>
      <c r="J23" s="40">
        <v>120373</v>
      </c>
      <c r="K23" s="40">
        <v>274189</v>
      </c>
      <c r="L23" s="40">
        <v>180628</v>
      </c>
      <c r="M23" s="40">
        <f t="shared" si="67"/>
        <v>0</v>
      </c>
      <c r="N23" s="40">
        <f t="shared" si="26"/>
        <v>159513</v>
      </c>
      <c r="O23" s="40"/>
      <c r="P23" s="40">
        <v>159513</v>
      </c>
      <c r="Q23" s="40"/>
      <c r="R23" s="40"/>
      <c r="S23" s="40">
        <f t="shared" si="27"/>
        <v>327665</v>
      </c>
      <c r="T23" s="40">
        <f t="shared" si="28"/>
        <v>282399</v>
      </c>
      <c r="U23" s="40">
        <v>96062</v>
      </c>
      <c r="V23" s="40">
        <v>60467</v>
      </c>
      <c r="W23" s="40">
        <v>149106</v>
      </c>
      <c r="X23" s="40">
        <v>131881</v>
      </c>
      <c r="Y23" s="40"/>
      <c r="Z23" s="40"/>
      <c r="AA23" s="40"/>
      <c r="AB23" s="40"/>
      <c r="AC23" s="40">
        <v>98192</v>
      </c>
      <c r="AD23" s="40">
        <v>103622</v>
      </c>
      <c r="AE23" s="36">
        <v>-15695</v>
      </c>
      <c r="AF23" s="36">
        <v>-13571</v>
      </c>
      <c r="AG23" s="40">
        <f t="shared" si="30"/>
        <v>81844</v>
      </c>
      <c r="AH23" s="40">
        <f t="shared" si="31"/>
        <v>119073</v>
      </c>
      <c r="AI23" s="40">
        <v>82613</v>
      </c>
      <c r="AJ23" s="40">
        <v>122525</v>
      </c>
      <c r="AK23" s="36">
        <v>-769</v>
      </c>
      <c r="AL23" s="36">
        <v>-3452</v>
      </c>
      <c r="AM23" s="40">
        <f t="shared" si="32"/>
        <v>13586</v>
      </c>
      <c r="AN23" s="40">
        <f t="shared" si="33"/>
        <v>8105</v>
      </c>
      <c r="AO23" s="40">
        <v>1618</v>
      </c>
      <c r="AP23" s="40">
        <v>289</v>
      </c>
      <c r="AQ23" s="40">
        <v>5936</v>
      </c>
      <c r="AR23" s="40">
        <v>3856</v>
      </c>
      <c r="AS23" s="40">
        <v>1437</v>
      </c>
      <c r="AT23" s="40">
        <v>1290</v>
      </c>
      <c r="AU23" s="40">
        <v>4595</v>
      </c>
      <c r="AV23" s="40">
        <v>2670</v>
      </c>
      <c r="AW23" s="40">
        <f t="shared" si="2"/>
        <v>1377369</v>
      </c>
      <c r="AX23" s="40">
        <f t="shared" si="2"/>
        <v>1122411</v>
      </c>
      <c r="AY23" s="40">
        <f t="shared" si="68"/>
        <v>0</v>
      </c>
      <c r="AZ23" s="40">
        <f t="shared" si="36"/>
        <v>0</v>
      </c>
      <c r="BA23" s="40"/>
      <c r="BB23" s="40"/>
      <c r="BC23" s="40"/>
      <c r="BD23" s="40"/>
      <c r="BE23" s="40"/>
      <c r="BF23" s="40"/>
      <c r="BG23" s="40"/>
      <c r="BH23" s="40"/>
      <c r="BI23" s="36"/>
      <c r="BJ23" s="36"/>
      <c r="BK23" s="41">
        <f t="shared" si="69"/>
        <v>386793</v>
      </c>
      <c r="BL23" s="40">
        <f t="shared" si="4"/>
        <v>427127</v>
      </c>
      <c r="BM23" s="40">
        <f>BO23+BQ23</f>
        <v>137248</v>
      </c>
      <c r="BN23" s="40">
        <f t="shared" si="39"/>
        <v>142194</v>
      </c>
      <c r="BO23" s="40">
        <v>322494</v>
      </c>
      <c r="BP23" s="40">
        <v>312913</v>
      </c>
      <c r="BQ23" s="36">
        <v>-185246</v>
      </c>
      <c r="BR23" s="36">
        <v>-170719</v>
      </c>
      <c r="BS23" s="40">
        <f t="shared" si="40"/>
        <v>0</v>
      </c>
      <c r="BT23" s="40">
        <f t="shared" si="41"/>
        <v>0</v>
      </c>
      <c r="BU23" s="40"/>
      <c r="BV23" s="40"/>
      <c r="BW23" s="40"/>
      <c r="BX23" s="40"/>
      <c r="BY23" s="40">
        <f t="shared" si="42"/>
        <v>12457</v>
      </c>
      <c r="BZ23" s="40">
        <f t="shared" si="43"/>
        <v>12790</v>
      </c>
      <c r="CA23" s="40">
        <v>13391</v>
      </c>
      <c r="CB23" s="40">
        <v>13487</v>
      </c>
      <c r="CC23" s="37">
        <v>-934</v>
      </c>
      <c r="CD23" s="37">
        <v>-697</v>
      </c>
      <c r="CE23" s="40">
        <v>237088</v>
      </c>
      <c r="CF23" s="40">
        <v>272143</v>
      </c>
      <c r="CG23" s="40">
        <f t="shared" si="45"/>
        <v>20047</v>
      </c>
      <c r="CH23" s="40">
        <f t="shared" si="46"/>
        <v>20950</v>
      </c>
      <c r="CI23" s="40">
        <v>22907</v>
      </c>
      <c r="CJ23" s="40">
        <v>22907</v>
      </c>
      <c r="CK23" s="36">
        <v>-2860</v>
      </c>
      <c r="CL23" s="36">
        <v>-1957</v>
      </c>
      <c r="CM23" s="40">
        <f t="shared" si="47"/>
        <v>958360</v>
      </c>
      <c r="CN23" s="40">
        <f t="shared" si="48"/>
        <v>663106</v>
      </c>
      <c r="CO23" s="40">
        <v>808407</v>
      </c>
      <c r="CP23" s="40">
        <v>527083</v>
      </c>
      <c r="CQ23" s="40">
        <v>68979</v>
      </c>
      <c r="CR23" s="40">
        <v>68979</v>
      </c>
      <c r="CS23" s="40">
        <v>85962</v>
      </c>
      <c r="CT23" s="40">
        <v>72427</v>
      </c>
      <c r="CU23" s="36">
        <v>-4988</v>
      </c>
      <c r="CV23" s="36">
        <v>-5383</v>
      </c>
      <c r="CW23" s="40">
        <f t="shared" si="50"/>
        <v>12169</v>
      </c>
      <c r="CX23" s="40">
        <f t="shared" si="51"/>
        <v>11228</v>
      </c>
      <c r="CY23" s="40">
        <v>9472</v>
      </c>
      <c r="CZ23" s="40">
        <v>10047</v>
      </c>
      <c r="DA23" s="40">
        <v>2697</v>
      </c>
      <c r="DB23" s="40">
        <v>1181</v>
      </c>
      <c r="DC23" s="40"/>
      <c r="DD23" s="40"/>
      <c r="DE23" s="40">
        <f t="shared" si="53"/>
        <v>2475879</v>
      </c>
      <c r="DF23" s="40">
        <f t="shared" si="54"/>
        <v>1992502</v>
      </c>
      <c r="DG23" s="40">
        <f t="shared" si="55"/>
        <v>626394</v>
      </c>
      <c r="DH23" s="40">
        <f t="shared" si="56"/>
        <v>555961</v>
      </c>
      <c r="DI23" s="40">
        <f t="shared" si="8"/>
        <v>623883</v>
      </c>
      <c r="DJ23" s="40">
        <f t="shared" si="9"/>
        <v>550771</v>
      </c>
      <c r="DK23" s="40">
        <v>184041</v>
      </c>
      <c r="DL23" s="40">
        <v>142166</v>
      </c>
      <c r="DM23" s="40">
        <v>58579</v>
      </c>
      <c r="DN23" s="40">
        <v>30887</v>
      </c>
      <c r="DO23" s="40">
        <v>1570</v>
      </c>
      <c r="DP23" s="40">
        <v>1743</v>
      </c>
      <c r="DQ23" s="40">
        <v>18566</v>
      </c>
      <c r="DR23" s="40">
        <v>13983</v>
      </c>
      <c r="DS23" s="40">
        <v>13657</v>
      </c>
      <c r="DT23" s="40">
        <v>19703</v>
      </c>
      <c r="DU23" s="40">
        <v>12268</v>
      </c>
      <c r="DV23" s="40">
        <v>6822</v>
      </c>
      <c r="DW23" s="40"/>
      <c r="DX23" s="40"/>
      <c r="DY23" s="40"/>
      <c r="DZ23" s="40"/>
      <c r="EA23" s="40">
        <v>327160</v>
      </c>
      <c r="EB23" s="40">
        <v>331022</v>
      </c>
      <c r="EC23" s="40"/>
      <c r="ED23" s="40"/>
      <c r="EE23" s="40">
        <v>8042</v>
      </c>
      <c r="EF23" s="40">
        <v>4445</v>
      </c>
      <c r="EG23" s="36">
        <f t="shared" si="70"/>
        <v>2511</v>
      </c>
      <c r="EH23" s="36">
        <f t="shared" si="65"/>
        <v>5190</v>
      </c>
      <c r="EI23" s="40"/>
      <c r="EJ23" s="40"/>
      <c r="EK23" s="40"/>
      <c r="EL23" s="40"/>
      <c r="EM23" s="40">
        <v>2240</v>
      </c>
      <c r="EN23" s="40">
        <v>2005</v>
      </c>
      <c r="EO23" s="40">
        <v>271</v>
      </c>
      <c r="EP23" s="40">
        <v>3185</v>
      </c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>
        <f t="shared" si="59"/>
        <v>1849485</v>
      </c>
      <c r="FB23" s="40">
        <f t="shared" si="60"/>
        <v>1436541</v>
      </c>
      <c r="FC23" s="40">
        <f t="shared" si="13"/>
        <v>1849485</v>
      </c>
      <c r="FD23" s="40">
        <f t="shared" si="14"/>
        <v>1436541</v>
      </c>
      <c r="FE23" s="40">
        <v>1583854</v>
      </c>
      <c r="FF23" s="40">
        <v>1152995</v>
      </c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>
        <v>65827</v>
      </c>
      <c r="FR23" s="40">
        <v>18744</v>
      </c>
      <c r="FS23" s="40"/>
      <c r="FT23" s="40">
        <v>23158</v>
      </c>
      <c r="FU23" s="40"/>
      <c r="FV23" s="40"/>
      <c r="FW23" s="40">
        <v>156459</v>
      </c>
      <c r="FX23" s="40">
        <v>190775</v>
      </c>
      <c r="FY23" s="40">
        <v>12682</v>
      </c>
      <c r="FZ23" s="40">
        <v>12682</v>
      </c>
      <c r="GA23" s="40">
        <v>30663</v>
      </c>
      <c r="GB23" s="40">
        <v>38187</v>
      </c>
      <c r="GC23" s="40">
        <f t="shared" si="62"/>
        <v>0</v>
      </c>
      <c r="GD23" s="40">
        <f t="shared" si="63"/>
        <v>0</v>
      </c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>
        <v>832</v>
      </c>
      <c r="GR23" s="40">
        <v>832</v>
      </c>
      <c r="GS23" s="40">
        <v>202</v>
      </c>
      <c r="GT23" s="40">
        <v>167</v>
      </c>
      <c r="GU23" s="40"/>
      <c r="GV23" s="40"/>
      <c r="GW23" s="60"/>
      <c r="GX23" s="60"/>
      <c r="GY23" s="60"/>
      <c r="GZ23" s="60"/>
      <c r="HA23" s="60"/>
      <c r="HB23" s="31">
        <f t="shared" si="17"/>
        <v>0</v>
      </c>
      <c r="HC23" s="31">
        <f t="shared" si="18"/>
        <v>0</v>
      </c>
      <c r="HD23" s="7"/>
      <c r="HE23" s="7"/>
      <c r="HF23" s="7"/>
    </row>
    <row r="24" spans="1:214" s="8" customFormat="1" ht="17.25" customHeight="1">
      <c r="A24" s="19">
        <v>8</v>
      </c>
      <c r="B24" s="20" t="s">
        <v>194</v>
      </c>
      <c r="C24" s="40">
        <f t="shared" si="19"/>
        <v>660059</v>
      </c>
      <c r="D24" s="40">
        <f t="shared" si="20"/>
        <v>654228</v>
      </c>
      <c r="E24" s="40">
        <f t="shared" si="21"/>
        <v>300440</v>
      </c>
      <c r="F24" s="40">
        <f t="shared" si="22"/>
        <v>312343</v>
      </c>
      <c r="G24" s="40">
        <f t="shared" si="66"/>
        <v>47616</v>
      </c>
      <c r="H24" s="40">
        <f t="shared" si="66"/>
        <v>20551</v>
      </c>
      <c r="I24" s="40">
        <v>17616</v>
      </c>
      <c r="J24" s="40">
        <v>14551</v>
      </c>
      <c r="K24" s="40">
        <v>30000</v>
      </c>
      <c r="L24" s="40">
        <v>6000</v>
      </c>
      <c r="M24" s="40">
        <f t="shared" si="67"/>
        <v>5304</v>
      </c>
      <c r="N24" s="40">
        <f t="shared" si="26"/>
        <v>8950</v>
      </c>
      <c r="O24" s="40">
        <v>5304</v>
      </c>
      <c r="P24" s="40">
        <v>8950</v>
      </c>
      <c r="Q24" s="40"/>
      <c r="R24" s="40"/>
      <c r="S24" s="40">
        <f t="shared" si="27"/>
        <v>159873</v>
      </c>
      <c r="T24" s="40">
        <f t="shared" si="28"/>
        <v>191183</v>
      </c>
      <c r="U24" s="40">
        <v>127847</v>
      </c>
      <c r="V24" s="40">
        <v>154768</v>
      </c>
      <c r="W24" s="40">
        <v>20760</v>
      </c>
      <c r="X24" s="40">
        <v>24255</v>
      </c>
      <c r="Y24" s="40"/>
      <c r="Z24" s="40"/>
      <c r="AA24" s="40"/>
      <c r="AB24" s="40"/>
      <c r="AC24" s="40">
        <v>14070</v>
      </c>
      <c r="AD24" s="40">
        <v>13464</v>
      </c>
      <c r="AE24" s="36">
        <v>-2804</v>
      </c>
      <c r="AF24" s="36">
        <v>-1304</v>
      </c>
      <c r="AG24" s="40">
        <f t="shared" si="30"/>
        <v>67989</v>
      </c>
      <c r="AH24" s="40">
        <f t="shared" si="31"/>
        <v>69914</v>
      </c>
      <c r="AI24" s="40">
        <v>68399</v>
      </c>
      <c r="AJ24" s="40">
        <v>70324</v>
      </c>
      <c r="AK24" s="36">
        <v>-410</v>
      </c>
      <c r="AL24" s="36">
        <v>-410</v>
      </c>
      <c r="AM24" s="40">
        <f t="shared" si="32"/>
        <v>19658</v>
      </c>
      <c r="AN24" s="40">
        <f t="shared" si="33"/>
        <v>21745</v>
      </c>
      <c r="AO24" s="40">
        <v>672</v>
      </c>
      <c r="AP24" s="40">
        <v>483</v>
      </c>
      <c r="AQ24" s="40">
        <v>100</v>
      </c>
      <c r="AR24" s="40">
        <v>2964</v>
      </c>
      <c r="AS24" s="40">
        <v>800</v>
      </c>
      <c r="AT24" s="40">
        <v>800</v>
      </c>
      <c r="AU24" s="40">
        <v>18086</v>
      </c>
      <c r="AV24" s="40">
        <v>17498</v>
      </c>
      <c r="AW24" s="40">
        <f t="shared" si="2"/>
        <v>359619</v>
      </c>
      <c r="AX24" s="40">
        <f t="shared" si="2"/>
        <v>341885</v>
      </c>
      <c r="AY24" s="40">
        <f t="shared" si="68"/>
        <v>0</v>
      </c>
      <c r="AZ24" s="40">
        <f t="shared" si="36"/>
        <v>0</v>
      </c>
      <c r="BA24" s="40"/>
      <c r="BB24" s="40"/>
      <c r="BC24" s="40"/>
      <c r="BD24" s="40"/>
      <c r="BE24" s="40"/>
      <c r="BF24" s="40"/>
      <c r="BG24" s="40"/>
      <c r="BH24" s="40"/>
      <c r="BI24" s="36"/>
      <c r="BJ24" s="36"/>
      <c r="BK24" s="41">
        <f t="shared" si="69"/>
        <v>159180</v>
      </c>
      <c r="BL24" s="40">
        <f t="shared" si="4"/>
        <v>141648</v>
      </c>
      <c r="BM24" s="40">
        <f>BO24+BQ24</f>
        <v>72367</v>
      </c>
      <c r="BN24" s="40">
        <f t="shared" si="39"/>
        <v>69736</v>
      </c>
      <c r="BO24" s="40">
        <v>138121</v>
      </c>
      <c r="BP24" s="40">
        <v>129236</v>
      </c>
      <c r="BQ24" s="36">
        <v>-65754</v>
      </c>
      <c r="BR24" s="36">
        <v>-59500</v>
      </c>
      <c r="BS24" s="40">
        <f t="shared" si="40"/>
        <v>0</v>
      </c>
      <c r="BT24" s="40">
        <f t="shared" si="41"/>
        <v>0</v>
      </c>
      <c r="BU24" s="40"/>
      <c r="BV24" s="40"/>
      <c r="BW24" s="40"/>
      <c r="BX24" s="40"/>
      <c r="BY24" s="40">
        <f t="shared" si="42"/>
        <v>0</v>
      </c>
      <c r="BZ24" s="40">
        <f t="shared" si="43"/>
        <v>0</v>
      </c>
      <c r="CA24" s="40">
        <v>60</v>
      </c>
      <c r="CB24" s="40">
        <v>60</v>
      </c>
      <c r="CC24" s="37">
        <v>-60</v>
      </c>
      <c r="CD24" s="37">
        <v>-60</v>
      </c>
      <c r="CE24" s="40">
        <v>86813</v>
      </c>
      <c r="CF24" s="40">
        <v>71912</v>
      </c>
      <c r="CG24" s="40">
        <f t="shared" si="45"/>
        <v>0</v>
      </c>
      <c r="CH24" s="40">
        <f t="shared" si="46"/>
        <v>0</v>
      </c>
      <c r="CI24" s="40"/>
      <c r="CJ24" s="40"/>
      <c r="CK24" s="36"/>
      <c r="CL24" s="36"/>
      <c r="CM24" s="40">
        <f t="shared" si="47"/>
        <v>172949</v>
      </c>
      <c r="CN24" s="40">
        <f t="shared" si="48"/>
        <v>172701</v>
      </c>
      <c r="CO24" s="40">
        <v>84130</v>
      </c>
      <c r="CP24" s="40">
        <v>87385</v>
      </c>
      <c r="CQ24" s="40">
        <v>70676</v>
      </c>
      <c r="CR24" s="40">
        <v>63532</v>
      </c>
      <c r="CS24" s="40">
        <v>23437</v>
      </c>
      <c r="CT24" s="40">
        <v>23437</v>
      </c>
      <c r="CU24" s="36">
        <v>-5294</v>
      </c>
      <c r="CV24" s="36">
        <v>-1653</v>
      </c>
      <c r="CW24" s="40">
        <f t="shared" si="50"/>
        <v>27490</v>
      </c>
      <c r="CX24" s="40">
        <f t="shared" si="51"/>
        <v>27536</v>
      </c>
      <c r="CY24" s="40">
        <v>27463</v>
      </c>
      <c r="CZ24" s="40">
        <v>27468</v>
      </c>
      <c r="DA24" s="40"/>
      <c r="DB24" s="40"/>
      <c r="DC24" s="40">
        <v>27</v>
      </c>
      <c r="DD24" s="40">
        <v>68</v>
      </c>
      <c r="DE24" s="40">
        <f t="shared" si="53"/>
        <v>660059</v>
      </c>
      <c r="DF24" s="40">
        <f t="shared" si="54"/>
        <v>654228</v>
      </c>
      <c r="DG24" s="40">
        <f t="shared" si="55"/>
        <v>215676</v>
      </c>
      <c r="DH24" s="40">
        <f t="shared" si="56"/>
        <v>220801</v>
      </c>
      <c r="DI24" s="40">
        <f t="shared" si="8"/>
        <v>172926</v>
      </c>
      <c r="DJ24" s="40">
        <f t="shared" si="9"/>
        <v>154189</v>
      </c>
      <c r="DK24" s="40">
        <v>82694</v>
      </c>
      <c r="DL24" s="40">
        <v>73485</v>
      </c>
      <c r="DM24" s="40">
        <v>10565</v>
      </c>
      <c r="DN24" s="40">
        <v>63854</v>
      </c>
      <c r="DO24" s="40">
        <v>1447</v>
      </c>
      <c r="DP24" s="40">
        <v>210</v>
      </c>
      <c r="DQ24" s="40">
        <v>3942</v>
      </c>
      <c r="DR24" s="40">
        <v>1443</v>
      </c>
      <c r="DS24" s="40">
        <v>3654</v>
      </c>
      <c r="DT24" s="40">
        <v>1285</v>
      </c>
      <c r="DU24" s="40"/>
      <c r="DV24" s="40">
        <v>1192</v>
      </c>
      <c r="DW24" s="40"/>
      <c r="DX24" s="40"/>
      <c r="DY24" s="40"/>
      <c r="DZ24" s="40"/>
      <c r="EA24" s="40">
        <v>66292</v>
      </c>
      <c r="EB24" s="40">
        <v>8972</v>
      </c>
      <c r="EC24" s="40"/>
      <c r="ED24" s="40">
        <v>334</v>
      </c>
      <c r="EE24" s="40">
        <v>4332</v>
      </c>
      <c r="EF24" s="40">
        <v>3414</v>
      </c>
      <c r="EG24" s="36">
        <f t="shared" si="70"/>
        <v>42750</v>
      </c>
      <c r="EH24" s="36">
        <f t="shared" si="65"/>
        <v>66612</v>
      </c>
      <c r="EI24" s="40"/>
      <c r="EJ24" s="40"/>
      <c r="EK24" s="40"/>
      <c r="EL24" s="40"/>
      <c r="EM24" s="40">
        <v>38457</v>
      </c>
      <c r="EN24" s="40">
        <v>38069</v>
      </c>
      <c r="EO24" s="40"/>
      <c r="EP24" s="40"/>
      <c r="EQ24" s="40"/>
      <c r="ER24" s="40"/>
      <c r="ES24" s="40"/>
      <c r="ET24" s="40"/>
      <c r="EU24" s="40"/>
      <c r="EV24" s="40"/>
      <c r="EW24" s="40">
        <v>3793</v>
      </c>
      <c r="EX24" s="40">
        <v>28543</v>
      </c>
      <c r="EY24" s="40">
        <v>500</v>
      </c>
      <c r="EZ24" s="40"/>
      <c r="FA24" s="40">
        <f t="shared" si="59"/>
        <v>444383</v>
      </c>
      <c r="FB24" s="40">
        <f t="shared" si="60"/>
        <v>433427</v>
      </c>
      <c r="FC24" s="40">
        <f t="shared" si="13"/>
        <v>444383</v>
      </c>
      <c r="FD24" s="40">
        <f t="shared" si="14"/>
        <v>433427</v>
      </c>
      <c r="FE24" s="40">
        <v>383487</v>
      </c>
      <c r="FF24" s="40">
        <v>306970</v>
      </c>
      <c r="FG24" s="40"/>
      <c r="FH24" s="40"/>
      <c r="FI24" s="40">
        <v>16604</v>
      </c>
      <c r="FJ24" s="40">
        <v>65813</v>
      </c>
      <c r="FK24" s="40"/>
      <c r="FL24" s="40"/>
      <c r="FM24" s="40"/>
      <c r="FN24" s="40"/>
      <c r="FO24" s="40"/>
      <c r="FP24" s="40">
        <v>3</v>
      </c>
      <c r="FQ24" s="40">
        <v>6776</v>
      </c>
      <c r="FR24" s="40">
        <v>8</v>
      </c>
      <c r="FS24" s="40">
        <v>11779</v>
      </c>
      <c r="FT24" s="40">
        <v>9806</v>
      </c>
      <c r="FU24" s="40"/>
      <c r="FV24" s="40"/>
      <c r="FW24" s="40">
        <v>23601</v>
      </c>
      <c r="FX24" s="40">
        <v>44593</v>
      </c>
      <c r="FY24" s="40"/>
      <c r="FZ24" s="40">
        <v>4134</v>
      </c>
      <c r="GA24" s="40">
        <v>2136</v>
      </c>
      <c r="GB24" s="40">
        <v>2100</v>
      </c>
      <c r="GC24" s="40">
        <f t="shared" si="62"/>
        <v>0</v>
      </c>
      <c r="GD24" s="40">
        <f t="shared" si="63"/>
        <v>0</v>
      </c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>
        <v>208</v>
      </c>
      <c r="GR24" s="40">
        <v>208</v>
      </c>
      <c r="GS24" s="40"/>
      <c r="GT24" s="40"/>
      <c r="GU24" s="40"/>
      <c r="GV24" s="40"/>
      <c r="GW24" s="60"/>
      <c r="GX24" s="60"/>
      <c r="GY24" s="60"/>
      <c r="GZ24" s="60"/>
      <c r="HA24" s="60"/>
      <c r="HB24" s="31">
        <f t="shared" si="17"/>
        <v>0</v>
      </c>
      <c r="HC24" s="31">
        <f t="shared" si="18"/>
        <v>0</v>
      </c>
      <c r="HD24" s="7"/>
      <c r="HE24" s="7"/>
      <c r="HF24" s="7"/>
    </row>
    <row r="25" spans="1:211" s="11" customFormat="1" ht="17.25" customHeight="1">
      <c r="A25" s="19">
        <v>9</v>
      </c>
      <c r="B25" s="20" t="s">
        <v>195</v>
      </c>
      <c r="C25" s="37">
        <f t="shared" si="19"/>
        <v>9822005</v>
      </c>
      <c r="D25" s="37">
        <f t="shared" si="20"/>
        <v>8124317</v>
      </c>
      <c r="E25" s="37">
        <f t="shared" si="21"/>
        <v>6287409</v>
      </c>
      <c r="F25" s="37">
        <f t="shared" si="22"/>
        <v>5119216</v>
      </c>
      <c r="G25" s="37">
        <f t="shared" si="23"/>
        <v>208112</v>
      </c>
      <c r="H25" s="37">
        <f t="shared" si="24"/>
        <v>118163</v>
      </c>
      <c r="I25" s="37">
        <v>208112</v>
      </c>
      <c r="J25" s="37">
        <v>118163</v>
      </c>
      <c r="K25" s="37"/>
      <c r="L25" s="37"/>
      <c r="M25" s="37">
        <f t="shared" si="25"/>
        <v>5177572</v>
      </c>
      <c r="N25" s="37">
        <f t="shared" si="26"/>
        <v>4300999</v>
      </c>
      <c r="O25" s="37">
        <v>5177572</v>
      </c>
      <c r="P25" s="37">
        <v>4300999</v>
      </c>
      <c r="Q25" s="37"/>
      <c r="R25" s="37"/>
      <c r="S25" s="37">
        <f t="shared" si="27"/>
        <v>453529</v>
      </c>
      <c r="T25" s="37">
        <f t="shared" si="28"/>
        <v>492612</v>
      </c>
      <c r="U25" s="37">
        <v>284492</v>
      </c>
      <c r="V25" s="37">
        <v>309937</v>
      </c>
      <c r="W25" s="37">
        <v>201359</v>
      </c>
      <c r="X25" s="37">
        <v>240407</v>
      </c>
      <c r="Y25" s="37"/>
      <c r="Z25" s="37"/>
      <c r="AA25" s="37"/>
      <c r="AB25" s="37"/>
      <c r="AC25" s="37">
        <v>181692</v>
      </c>
      <c r="AD25" s="37">
        <v>148564</v>
      </c>
      <c r="AE25" s="36">
        <v>-214014</v>
      </c>
      <c r="AF25" s="36">
        <v>-206296</v>
      </c>
      <c r="AG25" s="37">
        <f t="shared" si="30"/>
        <v>329998</v>
      </c>
      <c r="AH25" s="37">
        <f t="shared" si="31"/>
        <v>123907</v>
      </c>
      <c r="AI25" s="37">
        <v>330185</v>
      </c>
      <c r="AJ25" s="37">
        <v>123907</v>
      </c>
      <c r="AK25" s="36">
        <v>-187</v>
      </c>
      <c r="AL25" s="36"/>
      <c r="AM25" s="37">
        <f t="shared" si="32"/>
        <v>118198</v>
      </c>
      <c r="AN25" s="37">
        <f t="shared" si="33"/>
        <v>83535</v>
      </c>
      <c r="AO25" s="37">
        <v>5126</v>
      </c>
      <c r="AP25" s="37">
        <v>1348</v>
      </c>
      <c r="AQ25" s="37">
        <v>106402</v>
      </c>
      <c r="AR25" s="37">
        <v>78508</v>
      </c>
      <c r="AS25" s="37">
        <v>408</v>
      </c>
      <c r="AT25" s="37">
        <v>403</v>
      </c>
      <c r="AU25" s="37">
        <v>6262</v>
      </c>
      <c r="AV25" s="37">
        <v>3276</v>
      </c>
      <c r="AW25" s="37">
        <f t="shared" si="2"/>
        <v>3534596</v>
      </c>
      <c r="AX25" s="37">
        <f t="shared" si="2"/>
        <v>3005101</v>
      </c>
      <c r="AY25" s="37">
        <f t="shared" si="35"/>
        <v>4205</v>
      </c>
      <c r="AZ25" s="37">
        <f t="shared" si="36"/>
        <v>4205</v>
      </c>
      <c r="BA25" s="37"/>
      <c r="BB25" s="37"/>
      <c r="BC25" s="37"/>
      <c r="BD25" s="37"/>
      <c r="BE25" s="37"/>
      <c r="BF25" s="37"/>
      <c r="BG25" s="37">
        <v>4205</v>
      </c>
      <c r="BH25" s="37">
        <v>4205</v>
      </c>
      <c r="BI25" s="36"/>
      <c r="BJ25" s="36"/>
      <c r="BK25" s="37">
        <f t="shared" si="69"/>
        <v>1193680</v>
      </c>
      <c r="BL25" s="37">
        <f t="shared" si="4"/>
        <v>856128</v>
      </c>
      <c r="BM25" s="37">
        <f t="shared" si="38"/>
        <v>524373</v>
      </c>
      <c r="BN25" s="37">
        <f t="shared" si="39"/>
        <v>292266</v>
      </c>
      <c r="BO25" s="37">
        <v>776565</v>
      </c>
      <c r="BP25" s="37">
        <v>522242</v>
      </c>
      <c r="BQ25" s="36">
        <v>-252192</v>
      </c>
      <c r="BR25" s="36">
        <v>-229976</v>
      </c>
      <c r="BS25" s="37">
        <f t="shared" si="40"/>
        <v>0</v>
      </c>
      <c r="BT25" s="37">
        <f t="shared" si="41"/>
        <v>0</v>
      </c>
      <c r="BU25" s="37"/>
      <c r="BV25" s="37"/>
      <c r="BW25" s="37"/>
      <c r="BX25" s="37"/>
      <c r="BY25" s="37">
        <f t="shared" si="42"/>
        <v>207191</v>
      </c>
      <c r="BZ25" s="37">
        <f t="shared" si="43"/>
        <v>197846</v>
      </c>
      <c r="CA25" s="37">
        <v>211418</v>
      </c>
      <c r="CB25" s="37">
        <v>201232</v>
      </c>
      <c r="CC25" s="37">
        <v>-4227</v>
      </c>
      <c r="CD25" s="37">
        <v>-3386</v>
      </c>
      <c r="CE25" s="37">
        <v>462116</v>
      </c>
      <c r="CF25" s="37">
        <v>366016</v>
      </c>
      <c r="CG25" s="37">
        <f t="shared" si="45"/>
        <v>229932</v>
      </c>
      <c r="CH25" s="37">
        <f t="shared" si="46"/>
        <v>225144</v>
      </c>
      <c r="CI25" s="37">
        <v>353989</v>
      </c>
      <c r="CJ25" s="37">
        <v>333989</v>
      </c>
      <c r="CK25" s="36">
        <v>-124057</v>
      </c>
      <c r="CL25" s="36">
        <v>-108845</v>
      </c>
      <c r="CM25" s="37">
        <f t="shared" si="47"/>
        <v>2048317</v>
      </c>
      <c r="CN25" s="37">
        <f t="shared" si="48"/>
        <v>1892377</v>
      </c>
      <c r="CO25" s="37">
        <v>691711</v>
      </c>
      <c r="CP25" s="37">
        <v>624871</v>
      </c>
      <c r="CQ25" s="37">
        <v>847126</v>
      </c>
      <c r="CR25" s="37">
        <v>832130</v>
      </c>
      <c r="CS25" s="37">
        <v>835935</v>
      </c>
      <c r="CT25" s="37">
        <v>793863</v>
      </c>
      <c r="CU25" s="36">
        <v>-326455</v>
      </c>
      <c r="CV25" s="36">
        <v>-358487</v>
      </c>
      <c r="CW25" s="37">
        <f t="shared" si="50"/>
        <v>58462</v>
      </c>
      <c r="CX25" s="37">
        <f t="shared" si="51"/>
        <v>27247</v>
      </c>
      <c r="CY25" s="37">
        <v>55137</v>
      </c>
      <c r="CZ25" s="37">
        <v>24603</v>
      </c>
      <c r="DA25" s="37">
        <v>1727</v>
      </c>
      <c r="DB25" s="37">
        <v>1584</v>
      </c>
      <c r="DC25" s="37">
        <v>1598</v>
      </c>
      <c r="DD25" s="37">
        <v>1060</v>
      </c>
      <c r="DE25" s="37">
        <f t="shared" si="53"/>
        <v>9822005</v>
      </c>
      <c r="DF25" s="37">
        <f t="shared" si="54"/>
        <v>8124317</v>
      </c>
      <c r="DG25" s="37">
        <f t="shared" si="55"/>
        <v>2427225</v>
      </c>
      <c r="DH25" s="37">
        <f t="shared" si="56"/>
        <v>1312426</v>
      </c>
      <c r="DI25" s="37">
        <f t="shared" si="8"/>
        <v>1657781</v>
      </c>
      <c r="DJ25" s="37">
        <f t="shared" si="9"/>
        <v>533550</v>
      </c>
      <c r="DK25" s="37">
        <v>191100</v>
      </c>
      <c r="DL25" s="37">
        <v>111210</v>
      </c>
      <c r="DM25" s="37">
        <v>271486</v>
      </c>
      <c r="DN25" s="37">
        <v>198161</v>
      </c>
      <c r="DO25" s="37">
        <v>15692</v>
      </c>
      <c r="DP25" s="37">
        <v>2762</v>
      </c>
      <c r="DQ25" s="37">
        <v>714341</v>
      </c>
      <c r="DR25" s="37">
        <v>43316</v>
      </c>
      <c r="DS25" s="37">
        <v>209443</v>
      </c>
      <c r="DT25" s="37">
        <v>71205</v>
      </c>
      <c r="DU25" s="37">
        <v>8046</v>
      </c>
      <c r="DV25" s="37">
        <v>7512</v>
      </c>
      <c r="DW25" s="37"/>
      <c r="DX25" s="37"/>
      <c r="DY25" s="37"/>
      <c r="DZ25" s="37"/>
      <c r="EA25" s="37">
        <v>100403</v>
      </c>
      <c r="EB25" s="37">
        <v>28020</v>
      </c>
      <c r="EC25" s="37"/>
      <c r="ED25" s="37"/>
      <c r="EE25" s="37">
        <v>147270</v>
      </c>
      <c r="EF25" s="37">
        <v>71364</v>
      </c>
      <c r="EG25" s="36">
        <f t="shared" si="70"/>
        <v>769444</v>
      </c>
      <c r="EH25" s="36">
        <f t="shared" si="65"/>
        <v>778876</v>
      </c>
      <c r="EI25" s="37"/>
      <c r="EJ25" s="37"/>
      <c r="EK25" s="37"/>
      <c r="EL25" s="37"/>
      <c r="EM25" s="37">
        <v>127618</v>
      </c>
      <c r="EN25" s="37">
        <v>155389</v>
      </c>
      <c r="EO25" s="37">
        <v>100521</v>
      </c>
      <c r="EP25" s="37">
        <v>159652</v>
      </c>
      <c r="EQ25" s="37"/>
      <c r="ER25" s="37"/>
      <c r="ES25" s="37"/>
      <c r="ET25" s="37"/>
      <c r="EU25" s="37"/>
      <c r="EV25" s="37"/>
      <c r="EW25" s="37">
        <v>530576</v>
      </c>
      <c r="EX25" s="37">
        <v>453106</v>
      </c>
      <c r="EY25" s="37">
        <v>10729</v>
      </c>
      <c r="EZ25" s="37">
        <v>10729</v>
      </c>
      <c r="FA25" s="37">
        <f t="shared" si="59"/>
        <v>7394780</v>
      </c>
      <c r="FB25" s="37">
        <f t="shared" si="60"/>
        <v>6811891</v>
      </c>
      <c r="FC25" s="37">
        <f t="shared" si="13"/>
        <v>7394780</v>
      </c>
      <c r="FD25" s="37">
        <f t="shared" si="14"/>
        <v>6811891</v>
      </c>
      <c r="FE25" s="37">
        <v>6107152</v>
      </c>
      <c r="FF25" s="37">
        <v>3625853</v>
      </c>
      <c r="FG25" s="37"/>
      <c r="FH25" s="37"/>
      <c r="FI25" s="37">
        <v>2140</v>
      </c>
      <c r="FJ25" s="37"/>
      <c r="FK25" s="37"/>
      <c r="FL25" s="37"/>
      <c r="FM25" s="37">
        <v>929</v>
      </c>
      <c r="FN25" s="37">
        <v>929</v>
      </c>
      <c r="FO25" s="37"/>
      <c r="FP25" s="37"/>
      <c r="FQ25" s="37">
        <v>981999</v>
      </c>
      <c r="FR25" s="37">
        <v>71259</v>
      </c>
      <c r="FS25" s="37">
        <v>0</v>
      </c>
      <c r="FT25" s="37">
        <v>287143</v>
      </c>
      <c r="FU25" s="37"/>
      <c r="FV25" s="37"/>
      <c r="FW25" s="37">
        <v>194562</v>
      </c>
      <c r="FX25" s="37">
        <v>2722455</v>
      </c>
      <c r="FY25" s="37">
        <v>14756</v>
      </c>
      <c r="FZ25" s="37">
        <v>17583</v>
      </c>
      <c r="GA25" s="37">
        <v>93242</v>
      </c>
      <c r="GB25" s="37">
        <v>86669</v>
      </c>
      <c r="GC25" s="37">
        <f t="shared" si="62"/>
        <v>0</v>
      </c>
      <c r="GD25" s="37">
        <f t="shared" si="63"/>
        <v>0</v>
      </c>
      <c r="GE25" s="37"/>
      <c r="GF25" s="37"/>
      <c r="GG25" s="37"/>
      <c r="GH25" s="37"/>
      <c r="GI25" s="37"/>
      <c r="GJ25" s="37"/>
      <c r="GK25" s="37"/>
      <c r="GL25" s="37"/>
      <c r="GM25" s="37">
        <v>36</v>
      </c>
      <c r="GN25" s="37">
        <v>13</v>
      </c>
      <c r="GO25" s="37"/>
      <c r="GP25" s="37"/>
      <c r="GQ25" s="37">
        <v>39</v>
      </c>
      <c r="GR25" s="37">
        <v>1116</v>
      </c>
      <c r="GS25" s="37">
        <v>1869428</v>
      </c>
      <c r="GT25" s="37">
        <v>1718594</v>
      </c>
      <c r="GU25" s="37"/>
      <c r="GV25" s="37"/>
      <c r="GW25" s="60"/>
      <c r="GX25" s="60"/>
      <c r="GY25" s="60"/>
      <c r="GZ25" s="60"/>
      <c r="HA25" s="60"/>
      <c r="HB25" s="31">
        <f t="shared" si="17"/>
        <v>0</v>
      </c>
      <c r="HC25" s="31">
        <f t="shared" si="18"/>
        <v>0</v>
      </c>
    </row>
    <row r="26" spans="1:211" s="12" customFormat="1" ht="17.25" customHeight="1">
      <c r="A26" s="21">
        <v>10</v>
      </c>
      <c r="B26" s="22" t="s">
        <v>196</v>
      </c>
      <c r="C26" s="37">
        <f t="shared" si="19"/>
        <v>7277216</v>
      </c>
      <c r="D26" s="37">
        <f t="shared" si="20"/>
        <v>6785605</v>
      </c>
      <c r="E26" s="37">
        <f t="shared" si="21"/>
        <v>2134726</v>
      </c>
      <c r="F26" s="37">
        <f t="shared" si="22"/>
        <v>2135941</v>
      </c>
      <c r="G26" s="37">
        <f t="shared" si="23"/>
        <v>759290</v>
      </c>
      <c r="H26" s="37">
        <f t="shared" si="24"/>
        <v>1406067</v>
      </c>
      <c r="I26" s="37">
        <v>218290</v>
      </c>
      <c r="J26" s="37">
        <v>202514</v>
      </c>
      <c r="K26" s="37">
        <v>541000</v>
      </c>
      <c r="L26" s="37">
        <v>1203553</v>
      </c>
      <c r="M26" s="37">
        <f t="shared" si="25"/>
        <v>1080968</v>
      </c>
      <c r="N26" s="37">
        <f t="shared" si="26"/>
        <v>467580</v>
      </c>
      <c r="O26" s="37">
        <v>1080968</v>
      </c>
      <c r="P26" s="37">
        <v>467580</v>
      </c>
      <c r="Q26" s="37">
        <v>0</v>
      </c>
      <c r="R26" s="37">
        <v>0</v>
      </c>
      <c r="S26" s="37">
        <f>SUM(U26+W26+AC26+AA26+Y26+AE26)</f>
        <v>202286</v>
      </c>
      <c r="T26" s="37">
        <f>SUM(V26+X26+AD26+AB26+Z26+AF26)</f>
        <v>173488</v>
      </c>
      <c r="U26" s="37">
        <v>76749</v>
      </c>
      <c r="V26" s="37">
        <v>56558</v>
      </c>
      <c r="W26" s="37">
        <v>6419</v>
      </c>
      <c r="X26" s="37">
        <v>4932</v>
      </c>
      <c r="Y26" s="42"/>
      <c r="Z26" s="43"/>
      <c r="AA26" s="37"/>
      <c r="AB26" s="37">
        <v>0</v>
      </c>
      <c r="AC26" s="37">
        <v>137899</v>
      </c>
      <c r="AD26" s="37">
        <v>124255</v>
      </c>
      <c r="AE26" s="36">
        <v>-18781</v>
      </c>
      <c r="AF26" s="36">
        <v>-12257</v>
      </c>
      <c r="AG26" s="37">
        <f t="shared" si="30"/>
        <v>12641</v>
      </c>
      <c r="AH26" s="37">
        <f t="shared" si="31"/>
        <v>20559</v>
      </c>
      <c r="AI26" s="37">
        <v>12641</v>
      </c>
      <c r="AJ26" s="37">
        <v>20559</v>
      </c>
      <c r="AK26" s="36">
        <v>0</v>
      </c>
      <c r="AL26" s="36">
        <v>0</v>
      </c>
      <c r="AM26" s="37">
        <f t="shared" si="32"/>
        <v>79541</v>
      </c>
      <c r="AN26" s="37">
        <f t="shared" si="33"/>
        <v>68247</v>
      </c>
      <c r="AO26" s="37">
        <v>11094</v>
      </c>
      <c r="AP26" s="37">
        <v>10093</v>
      </c>
      <c r="AQ26" s="37">
        <v>24262</v>
      </c>
      <c r="AR26" s="37">
        <v>54543</v>
      </c>
      <c r="AS26" s="37">
        <v>41347</v>
      </c>
      <c r="AT26" s="37">
        <v>217</v>
      </c>
      <c r="AU26" s="37">
        <v>2838</v>
      </c>
      <c r="AV26" s="37">
        <v>3394</v>
      </c>
      <c r="AW26" s="37">
        <f t="shared" si="2"/>
        <v>5142490</v>
      </c>
      <c r="AX26" s="37">
        <f t="shared" si="2"/>
        <v>4649664</v>
      </c>
      <c r="AY26" s="37">
        <f t="shared" si="35"/>
        <v>84531</v>
      </c>
      <c r="AZ26" s="37">
        <f t="shared" si="36"/>
        <v>98735</v>
      </c>
      <c r="BA26" s="37"/>
      <c r="BB26" s="37"/>
      <c r="BC26" s="37"/>
      <c r="BD26" s="37"/>
      <c r="BE26" s="37"/>
      <c r="BF26" s="37"/>
      <c r="BG26" s="37">
        <v>84531</v>
      </c>
      <c r="BH26" s="37">
        <v>98735</v>
      </c>
      <c r="BI26" s="36"/>
      <c r="BJ26" s="36"/>
      <c r="BK26" s="37">
        <f t="shared" si="69"/>
        <v>1555311</v>
      </c>
      <c r="BL26" s="37">
        <f t="shared" si="4"/>
        <v>1400906</v>
      </c>
      <c r="BM26" s="37">
        <f t="shared" si="38"/>
        <v>1179690</v>
      </c>
      <c r="BN26" s="37">
        <f t="shared" si="39"/>
        <v>1037907</v>
      </c>
      <c r="BO26" s="37">
        <v>2279214</v>
      </c>
      <c r="BP26" s="37">
        <v>1941224</v>
      </c>
      <c r="BQ26" s="36">
        <v>-1099524</v>
      </c>
      <c r="BR26" s="36">
        <v>-903317</v>
      </c>
      <c r="BS26" s="37">
        <f t="shared" si="40"/>
        <v>0</v>
      </c>
      <c r="BT26" s="37">
        <f t="shared" si="41"/>
        <v>0</v>
      </c>
      <c r="BU26" s="37"/>
      <c r="BV26" s="37"/>
      <c r="BW26" s="37"/>
      <c r="BX26" s="37"/>
      <c r="BY26" s="37">
        <f t="shared" si="42"/>
        <v>40726</v>
      </c>
      <c r="BZ26" s="37">
        <f t="shared" si="43"/>
        <v>41561</v>
      </c>
      <c r="CA26" s="37">
        <v>81497</v>
      </c>
      <c r="CB26" s="37">
        <v>80765</v>
      </c>
      <c r="CC26" s="37">
        <v>-40771</v>
      </c>
      <c r="CD26" s="37">
        <v>-39204</v>
      </c>
      <c r="CE26" s="37">
        <v>334895</v>
      </c>
      <c r="CF26" s="37">
        <v>321438</v>
      </c>
      <c r="CG26" s="37">
        <f t="shared" si="45"/>
        <v>26707</v>
      </c>
      <c r="CH26" s="37">
        <f t="shared" si="46"/>
        <v>28971</v>
      </c>
      <c r="CI26" s="37">
        <v>92147</v>
      </c>
      <c r="CJ26" s="37">
        <v>92265</v>
      </c>
      <c r="CK26" s="36">
        <v>-65440</v>
      </c>
      <c r="CL26" s="36">
        <v>-63294</v>
      </c>
      <c r="CM26" s="37">
        <f t="shared" si="47"/>
        <v>3422903</v>
      </c>
      <c r="CN26" s="37">
        <f t="shared" si="48"/>
        <v>3082832</v>
      </c>
      <c r="CO26" s="37">
        <v>990061</v>
      </c>
      <c r="CP26" s="37">
        <v>1068305</v>
      </c>
      <c r="CQ26" s="37">
        <v>1965651</v>
      </c>
      <c r="CR26" s="37">
        <v>1586509</v>
      </c>
      <c r="CS26" s="37">
        <v>590365</v>
      </c>
      <c r="CT26" s="37">
        <v>546069</v>
      </c>
      <c r="CU26" s="36">
        <v>-123174</v>
      </c>
      <c r="CV26" s="36">
        <v>-118051</v>
      </c>
      <c r="CW26" s="37">
        <f t="shared" si="50"/>
        <v>53038</v>
      </c>
      <c r="CX26" s="37">
        <f t="shared" si="51"/>
        <v>38220</v>
      </c>
      <c r="CY26" s="37">
        <v>50995</v>
      </c>
      <c r="CZ26" s="37">
        <v>31673</v>
      </c>
      <c r="DA26" s="37">
        <v>1965</v>
      </c>
      <c r="DB26" s="37">
        <v>6474</v>
      </c>
      <c r="DC26" s="37">
        <v>78</v>
      </c>
      <c r="DD26" s="37">
        <v>73</v>
      </c>
      <c r="DE26" s="37">
        <f t="shared" si="53"/>
        <v>7277216</v>
      </c>
      <c r="DF26" s="37">
        <f t="shared" si="54"/>
        <v>6785605</v>
      </c>
      <c r="DG26" s="37">
        <f t="shared" si="55"/>
        <v>911925</v>
      </c>
      <c r="DH26" s="37">
        <f t="shared" si="56"/>
        <v>879631</v>
      </c>
      <c r="DI26" s="37">
        <f t="shared" si="8"/>
        <v>726025</v>
      </c>
      <c r="DJ26" s="37">
        <f t="shared" si="9"/>
        <v>662598</v>
      </c>
      <c r="DK26" s="37"/>
      <c r="DL26" s="37"/>
      <c r="DM26" s="37">
        <v>46003</v>
      </c>
      <c r="DN26" s="37">
        <v>43314</v>
      </c>
      <c r="DO26" s="37">
        <v>24795</v>
      </c>
      <c r="DP26" s="37">
        <v>23147</v>
      </c>
      <c r="DQ26" s="37">
        <v>96718</v>
      </c>
      <c r="DR26" s="37">
        <v>58271</v>
      </c>
      <c r="DS26" s="37">
        <v>137978</v>
      </c>
      <c r="DT26" s="37">
        <v>151582</v>
      </c>
      <c r="DU26" s="37">
        <v>12260</v>
      </c>
      <c r="DV26" s="37">
        <v>10881</v>
      </c>
      <c r="DW26" s="37"/>
      <c r="DX26" s="37"/>
      <c r="DY26" s="37"/>
      <c r="DZ26" s="37"/>
      <c r="EA26" s="37">
        <v>141667</v>
      </c>
      <c r="EB26" s="37">
        <v>108500</v>
      </c>
      <c r="EC26" s="37"/>
      <c r="ED26" s="37"/>
      <c r="EE26" s="37">
        <v>266604</v>
      </c>
      <c r="EF26" s="37">
        <v>266903</v>
      </c>
      <c r="EG26" s="36">
        <f t="shared" si="70"/>
        <v>185900</v>
      </c>
      <c r="EH26" s="36">
        <f t="shared" si="65"/>
        <v>217033</v>
      </c>
      <c r="EI26" s="37"/>
      <c r="EJ26" s="37"/>
      <c r="EK26" s="37"/>
      <c r="EL26" s="37"/>
      <c r="EM26" s="37">
        <v>158111</v>
      </c>
      <c r="EN26" s="37">
        <v>191656</v>
      </c>
      <c r="EO26" s="37"/>
      <c r="EP26" s="37"/>
      <c r="EQ26" s="37"/>
      <c r="ER26" s="37"/>
      <c r="ES26" s="37"/>
      <c r="ET26" s="37"/>
      <c r="EU26" s="37"/>
      <c r="EV26" s="37"/>
      <c r="EW26" s="37">
        <v>27789</v>
      </c>
      <c r="EX26" s="37">
        <v>25377</v>
      </c>
      <c r="EY26" s="37">
        <v>0</v>
      </c>
      <c r="EZ26" s="37">
        <v>0</v>
      </c>
      <c r="FA26" s="37">
        <f t="shared" si="59"/>
        <v>6365291</v>
      </c>
      <c r="FB26" s="37">
        <f t="shared" si="60"/>
        <v>5905974</v>
      </c>
      <c r="FC26" s="37">
        <f t="shared" si="13"/>
        <v>6365291</v>
      </c>
      <c r="FD26" s="37">
        <f>FF26+FH26+FJ26+FL26+FN26+FP26+FR26+FT26+FV26+FX26+FZ26+GB26</f>
        <v>5905974</v>
      </c>
      <c r="FE26" s="37">
        <v>5268046</v>
      </c>
      <c r="FF26" s="37">
        <v>4586627</v>
      </c>
      <c r="FG26" s="37">
        <v>0</v>
      </c>
      <c r="FH26" s="37"/>
      <c r="FI26" s="37"/>
      <c r="FJ26" s="37"/>
      <c r="FK26" s="37"/>
      <c r="FL26" s="37"/>
      <c r="FM26" s="37"/>
      <c r="FN26" s="37"/>
      <c r="FO26" s="37"/>
      <c r="FP26" s="37"/>
      <c r="FQ26" s="37">
        <v>211479</v>
      </c>
      <c r="FR26" s="37"/>
      <c r="FS26" s="37"/>
      <c r="FT26" s="37">
        <v>135087</v>
      </c>
      <c r="FU26" s="37"/>
      <c r="FV26" s="37"/>
      <c r="FW26" s="37">
        <v>465825</v>
      </c>
      <c r="FX26" s="37">
        <v>764319</v>
      </c>
      <c r="FY26" s="37">
        <v>0</v>
      </c>
      <c r="FZ26" s="37">
        <v>0</v>
      </c>
      <c r="GA26" s="37">
        <v>419941</v>
      </c>
      <c r="GB26" s="37">
        <v>419941</v>
      </c>
      <c r="GC26" s="37">
        <f t="shared" si="62"/>
        <v>0</v>
      </c>
      <c r="GD26" s="37">
        <f t="shared" si="63"/>
        <v>0</v>
      </c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66"/>
      <c r="GX26" s="66"/>
      <c r="GY26" s="66"/>
      <c r="GZ26" s="66"/>
      <c r="HA26" s="66"/>
      <c r="HB26" s="31">
        <f t="shared" si="17"/>
        <v>0</v>
      </c>
      <c r="HC26" s="31">
        <f t="shared" si="18"/>
        <v>0</v>
      </c>
    </row>
    <row r="27" spans="1:211" s="12" customFormat="1" ht="17.25" customHeight="1">
      <c r="A27" s="21">
        <v>11</v>
      </c>
      <c r="B27" s="22" t="s">
        <v>197</v>
      </c>
      <c r="C27" s="37">
        <f t="shared" si="19"/>
        <v>2458762</v>
      </c>
      <c r="D27" s="37">
        <f>F27+AX27</f>
        <v>2246949</v>
      </c>
      <c r="E27" s="37">
        <f t="shared" si="21"/>
        <v>535262</v>
      </c>
      <c r="F27" s="37">
        <f t="shared" si="22"/>
        <v>562860</v>
      </c>
      <c r="G27" s="37">
        <f t="shared" si="23"/>
        <v>69349</v>
      </c>
      <c r="H27" s="37">
        <f t="shared" si="24"/>
        <v>61169</v>
      </c>
      <c r="I27" s="37">
        <v>39243</v>
      </c>
      <c r="J27" s="37">
        <v>51061</v>
      </c>
      <c r="K27" s="37">
        <v>30106</v>
      </c>
      <c r="L27" s="37">
        <v>10108</v>
      </c>
      <c r="M27" s="37">
        <f t="shared" si="25"/>
        <v>159344</v>
      </c>
      <c r="N27" s="37">
        <f t="shared" si="26"/>
        <v>177373</v>
      </c>
      <c r="O27" s="37">
        <v>168241</v>
      </c>
      <c r="P27" s="37">
        <v>191233</v>
      </c>
      <c r="Q27" s="37">
        <v>-8897</v>
      </c>
      <c r="R27" s="37">
        <v>-13860</v>
      </c>
      <c r="S27" s="44">
        <f>SUM(U27+W27+Y27+AA27+AC27+AE27)</f>
        <v>124764</v>
      </c>
      <c r="T27" s="44">
        <f>SUM(V27+X27+Z27+AB27+AD27+AF27)</f>
        <v>148862</v>
      </c>
      <c r="U27" s="37">
        <v>6767</v>
      </c>
      <c r="V27" s="37">
        <v>15793</v>
      </c>
      <c r="W27" s="37">
        <v>3057</v>
      </c>
      <c r="X27" s="37">
        <v>2437</v>
      </c>
      <c r="Y27" s="37">
        <v>0</v>
      </c>
      <c r="Z27" s="37">
        <v>0</v>
      </c>
      <c r="AA27" s="37">
        <v>0</v>
      </c>
      <c r="AB27" s="37">
        <v>0</v>
      </c>
      <c r="AC27" s="37">
        <v>114940</v>
      </c>
      <c r="AD27" s="37">
        <v>130831</v>
      </c>
      <c r="AE27" s="36">
        <v>0</v>
      </c>
      <c r="AF27" s="36">
        <v>-199</v>
      </c>
      <c r="AG27" s="37">
        <f t="shared" si="30"/>
        <v>174217</v>
      </c>
      <c r="AH27" s="37">
        <f t="shared" si="31"/>
        <v>168383</v>
      </c>
      <c r="AI27" s="37">
        <v>174217</v>
      </c>
      <c r="AJ27" s="37">
        <v>168383</v>
      </c>
      <c r="AK27" s="36">
        <v>0</v>
      </c>
      <c r="AL27" s="36">
        <v>0</v>
      </c>
      <c r="AM27" s="37">
        <f t="shared" si="32"/>
        <v>7588</v>
      </c>
      <c r="AN27" s="37">
        <f t="shared" si="33"/>
        <v>7073</v>
      </c>
      <c r="AO27" s="37">
        <v>30</v>
      </c>
      <c r="AP27" s="37">
        <v>77</v>
      </c>
      <c r="AQ27" s="37">
        <v>0</v>
      </c>
      <c r="AR27" s="37">
        <v>0</v>
      </c>
      <c r="AS27" s="37">
        <v>1637</v>
      </c>
      <c r="AT27" s="37">
        <v>1637</v>
      </c>
      <c r="AU27" s="37">
        <v>5921</v>
      </c>
      <c r="AV27" s="37">
        <v>5359</v>
      </c>
      <c r="AW27" s="37">
        <f t="shared" si="2"/>
        <v>1923500</v>
      </c>
      <c r="AX27" s="37">
        <f t="shared" si="2"/>
        <v>1684089</v>
      </c>
      <c r="AY27" s="37">
        <f t="shared" si="35"/>
        <v>0</v>
      </c>
      <c r="AZ27" s="37">
        <f t="shared" si="36"/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6">
        <v>0</v>
      </c>
      <c r="BJ27" s="36">
        <v>0</v>
      </c>
      <c r="BK27" s="37">
        <f t="shared" si="69"/>
        <v>297612</v>
      </c>
      <c r="BL27" s="37">
        <f aca="true" t="shared" si="71" ref="BL27:BL34">BN27+BT27+BZ27+CF27</f>
        <v>265640</v>
      </c>
      <c r="BM27" s="37">
        <f t="shared" si="38"/>
        <v>22441</v>
      </c>
      <c r="BN27" s="37">
        <f t="shared" si="39"/>
        <v>22472</v>
      </c>
      <c r="BO27" s="37">
        <v>48695</v>
      </c>
      <c r="BP27" s="37">
        <v>47150</v>
      </c>
      <c r="BQ27" s="36">
        <v>-26254</v>
      </c>
      <c r="BR27" s="36">
        <v>-24678</v>
      </c>
      <c r="BS27" s="37">
        <f t="shared" si="40"/>
        <v>0</v>
      </c>
      <c r="BT27" s="37">
        <f t="shared" si="41"/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f t="shared" si="42"/>
        <v>68</v>
      </c>
      <c r="BZ27" s="37">
        <f t="shared" si="43"/>
        <v>118</v>
      </c>
      <c r="CA27" s="37">
        <v>571</v>
      </c>
      <c r="CB27" s="37">
        <v>571</v>
      </c>
      <c r="CC27" s="37">
        <v>-503</v>
      </c>
      <c r="CD27" s="37">
        <v>-453</v>
      </c>
      <c r="CE27" s="37">
        <v>275103</v>
      </c>
      <c r="CF27" s="37">
        <v>243050</v>
      </c>
      <c r="CG27" s="37">
        <f t="shared" si="45"/>
        <v>15776</v>
      </c>
      <c r="CH27" s="37">
        <f t="shared" si="46"/>
        <v>22964</v>
      </c>
      <c r="CI27" s="37">
        <v>67742</v>
      </c>
      <c r="CJ27" s="37">
        <v>67806</v>
      </c>
      <c r="CK27" s="36">
        <v>-51966</v>
      </c>
      <c r="CL27" s="36">
        <v>-44842</v>
      </c>
      <c r="CM27" s="37">
        <f t="shared" si="47"/>
        <v>1607287</v>
      </c>
      <c r="CN27" s="37">
        <f t="shared" si="48"/>
        <v>1392749</v>
      </c>
      <c r="CO27" s="37">
        <v>487134</v>
      </c>
      <c r="CP27" s="37">
        <v>355839</v>
      </c>
      <c r="CQ27" s="37">
        <v>966305</v>
      </c>
      <c r="CR27" s="37">
        <v>921378</v>
      </c>
      <c r="CS27" s="37">
        <v>222047</v>
      </c>
      <c r="CT27" s="37">
        <v>196618</v>
      </c>
      <c r="CU27" s="36">
        <v>-68199</v>
      </c>
      <c r="CV27" s="36">
        <v>-81086</v>
      </c>
      <c r="CW27" s="37">
        <f t="shared" si="50"/>
        <v>2825</v>
      </c>
      <c r="CX27" s="37">
        <f t="shared" si="51"/>
        <v>2736</v>
      </c>
      <c r="CY27" s="37">
        <v>708</v>
      </c>
      <c r="CZ27" s="37">
        <v>869</v>
      </c>
      <c r="DA27" s="37">
        <v>1867</v>
      </c>
      <c r="DB27" s="37">
        <v>1867</v>
      </c>
      <c r="DC27" s="37">
        <v>250</v>
      </c>
      <c r="DD27" s="37">
        <v>0</v>
      </c>
      <c r="DE27" s="37">
        <f t="shared" si="53"/>
        <v>2458762</v>
      </c>
      <c r="DF27" s="37">
        <f t="shared" si="54"/>
        <v>2246949</v>
      </c>
      <c r="DG27" s="37">
        <f t="shared" si="55"/>
        <v>462569</v>
      </c>
      <c r="DH27" s="37">
        <f t="shared" si="56"/>
        <v>527636</v>
      </c>
      <c r="DI27" s="37">
        <f t="shared" si="8"/>
        <v>208869</v>
      </c>
      <c r="DJ27" s="37">
        <f t="shared" si="9"/>
        <v>237896</v>
      </c>
      <c r="DK27" s="37">
        <v>82360</v>
      </c>
      <c r="DL27" s="37">
        <v>152217</v>
      </c>
      <c r="DM27" s="37">
        <v>4645</v>
      </c>
      <c r="DN27" s="37">
        <v>1825</v>
      </c>
      <c r="DO27" s="37">
        <v>19996</v>
      </c>
      <c r="DP27" s="37">
        <v>145</v>
      </c>
      <c r="DQ27" s="37">
        <v>24681</v>
      </c>
      <c r="DR27" s="37">
        <v>2407</v>
      </c>
      <c r="DS27" s="37">
        <v>19508</v>
      </c>
      <c r="DT27" s="37">
        <v>19267</v>
      </c>
      <c r="DU27" s="37">
        <v>33390</v>
      </c>
      <c r="DV27" s="37">
        <v>33464</v>
      </c>
      <c r="DW27" s="37">
        <v>0</v>
      </c>
      <c r="DX27" s="37">
        <v>0</v>
      </c>
      <c r="DY27" s="37">
        <v>0</v>
      </c>
      <c r="DZ27" s="37">
        <v>0</v>
      </c>
      <c r="EA27" s="37">
        <v>17613</v>
      </c>
      <c r="EB27" s="37">
        <v>16088</v>
      </c>
      <c r="EC27" s="37">
        <v>0</v>
      </c>
      <c r="ED27" s="37">
        <v>0</v>
      </c>
      <c r="EE27" s="37">
        <v>6676</v>
      </c>
      <c r="EF27" s="37">
        <v>12483</v>
      </c>
      <c r="EG27" s="36">
        <f t="shared" si="70"/>
        <v>253700</v>
      </c>
      <c r="EH27" s="36">
        <f t="shared" si="65"/>
        <v>289740</v>
      </c>
      <c r="EI27" s="37">
        <v>0</v>
      </c>
      <c r="EJ27" s="37">
        <v>0</v>
      </c>
      <c r="EK27" s="37">
        <v>0</v>
      </c>
      <c r="EL27" s="37">
        <v>0</v>
      </c>
      <c r="EM27" s="37">
        <v>219542</v>
      </c>
      <c r="EN27" s="37">
        <v>221616</v>
      </c>
      <c r="EO27" s="37">
        <v>26856</v>
      </c>
      <c r="EP27" s="37">
        <v>59854</v>
      </c>
      <c r="EQ27" s="37">
        <v>0</v>
      </c>
      <c r="ER27" s="37">
        <v>0</v>
      </c>
      <c r="ES27" s="37">
        <v>0</v>
      </c>
      <c r="ET27" s="37">
        <v>0</v>
      </c>
      <c r="EU27" s="37">
        <v>0</v>
      </c>
      <c r="EV27" s="37">
        <v>0</v>
      </c>
      <c r="EW27" s="37">
        <v>7302</v>
      </c>
      <c r="EX27" s="37">
        <v>8270</v>
      </c>
      <c r="EY27" s="37">
        <v>0</v>
      </c>
      <c r="EZ27" s="37">
        <v>0</v>
      </c>
      <c r="FA27" s="37">
        <f t="shared" si="59"/>
        <v>1996193</v>
      </c>
      <c r="FB27" s="37">
        <f t="shared" si="60"/>
        <v>1719313</v>
      </c>
      <c r="FC27" s="37">
        <f t="shared" si="13"/>
        <v>1996193</v>
      </c>
      <c r="FD27" s="37">
        <f t="shared" si="13"/>
        <v>1719313</v>
      </c>
      <c r="FE27" s="37">
        <v>1707188</v>
      </c>
      <c r="FF27" s="37">
        <v>1180545</v>
      </c>
      <c r="FG27" s="37">
        <v>0</v>
      </c>
      <c r="FH27" s="37">
        <v>0</v>
      </c>
      <c r="FI27" s="37">
        <v>17918</v>
      </c>
      <c r="FJ27" s="37">
        <v>252078</v>
      </c>
      <c r="FK27" s="37">
        <v>0</v>
      </c>
      <c r="FL27" s="37">
        <v>0</v>
      </c>
      <c r="FM27" s="37">
        <v>0</v>
      </c>
      <c r="FN27" s="37">
        <v>0</v>
      </c>
      <c r="FO27" s="37">
        <v>0</v>
      </c>
      <c r="FP27" s="37">
        <v>0</v>
      </c>
      <c r="FQ27" s="37">
        <v>31028</v>
      </c>
      <c r="FR27" s="37">
        <v>38506</v>
      </c>
      <c r="FS27" s="37">
        <v>0</v>
      </c>
      <c r="FT27" s="37">
        <v>31028</v>
      </c>
      <c r="FU27" s="37">
        <v>0</v>
      </c>
      <c r="FV27" s="37">
        <v>0</v>
      </c>
      <c r="FW27" s="37">
        <v>208882</v>
      </c>
      <c r="FX27" s="37">
        <v>186013</v>
      </c>
      <c r="FY27" s="37">
        <v>0</v>
      </c>
      <c r="FZ27" s="37">
        <v>0</v>
      </c>
      <c r="GA27" s="37">
        <v>31177</v>
      </c>
      <c r="GB27" s="37">
        <v>31143</v>
      </c>
      <c r="GC27" s="37">
        <f t="shared" si="62"/>
        <v>0</v>
      </c>
      <c r="GD27" s="37">
        <f t="shared" si="63"/>
        <v>0</v>
      </c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>
        <v>527</v>
      </c>
      <c r="GT27" s="37">
        <v>533</v>
      </c>
      <c r="GU27" s="37"/>
      <c r="GV27" s="37"/>
      <c r="GW27" s="66"/>
      <c r="GX27" s="66"/>
      <c r="GY27" s="66"/>
      <c r="GZ27" s="66"/>
      <c r="HA27" s="66"/>
      <c r="HB27" s="31">
        <f t="shared" si="17"/>
        <v>0</v>
      </c>
      <c r="HC27" s="31">
        <f t="shared" si="18"/>
        <v>0</v>
      </c>
    </row>
    <row r="28" spans="1:211" s="9" customFormat="1" ht="14.25">
      <c r="A28" s="23">
        <v>12</v>
      </c>
      <c r="B28" s="24" t="s">
        <v>198</v>
      </c>
      <c r="C28" s="36">
        <f t="shared" si="19"/>
        <v>621411.36</v>
      </c>
      <c r="D28" s="36">
        <f>F28+AX28</f>
        <v>622745.36</v>
      </c>
      <c r="E28" s="36">
        <f t="shared" si="21"/>
        <v>90961.35999999999</v>
      </c>
      <c r="F28" s="36">
        <f t="shared" si="22"/>
        <v>92350.35999999999</v>
      </c>
      <c r="G28" s="36">
        <f t="shared" si="23"/>
        <v>27152</v>
      </c>
      <c r="H28" s="36">
        <f t="shared" si="24"/>
        <v>14123</v>
      </c>
      <c r="I28" s="36">
        <v>6450</v>
      </c>
      <c r="J28" s="36">
        <v>9957</v>
      </c>
      <c r="K28" s="36">
        <v>20702</v>
      </c>
      <c r="L28" s="36">
        <v>4166</v>
      </c>
      <c r="M28" s="36">
        <f t="shared" si="25"/>
        <v>133</v>
      </c>
      <c r="N28" s="36">
        <f t="shared" si="26"/>
        <v>93</v>
      </c>
      <c r="O28" s="36">
        <v>261</v>
      </c>
      <c r="P28" s="36">
        <v>261</v>
      </c>
      <c r="Q28" s="36">
        <v>-128</v>
      </c>
      <c r="R28" s="36">
        <v>-168</v>
      </c>
      <c r="S28" s="36">
        <f>SUM(U28+W28+Y28+AA28+AC28+AE28)</f>
        <v>44120.359999999986</v>
      </c>
      <c r="T28" s="36">
        <f>V28+X28+Z28+AB28+AD28+AF28</f>
        <v>51067.359999999986</v>
      </c>
      <c r="U28" s="36">
        <v>15284</v>
      </c>
      <c r="V28" s="36">
        <v>24436</v>
      </c>
      <c r="W28" s="36">
        <v>2715</v>
      </c>
      <c r="X28" s="36">
        <v>1162</v>
      </c>
      <c r="Y28" s="36">
        <v>0</v>
      </c>
      <c r="Z28" s="36">
        <v>0</v>
      </c>
      <c r="AA28" s="36">
        <v>0</v>
      </c>
      <c r="AB28" s="36">
        <v>0</v>
      </c>
      <c r="AC28" s="36">
        <f>27147+0.35999999998603</f>
        <v>27147.359999999986</v>
      </c>
      <c r="AD28" s="36">
        <f>25969+0.35999999998603</f>
        <v>25969.359999999986</v>
      </c>
      <c r="AE28" s="36">
        <v>-1026</v>
      </c>
      <c r="AF28" s="36">
        <v>-500</v>
      </c>
      <c r="AG28" s="36">
        <f t="shared" si="30"/>
        <v>18339</v>
      </c>
      <c r="AH28" s="36">
        <f t="shared" si="31"/>
        <v>24917</v>
      </c>
      <c r="AI28" s="36">
        <v>24554</v>
      </c>
      <c r="AJ28" s="36">
        <v>31132</v>
      </c>
      <c r="AK28" s="36">
        <v>-6215</v>
      </c>
      <c r="AL28" s="36">
        <v>-6215</v>
      </c>
      <c r="AM28" s="36">
        <f t="shared" si="32"/>
        <v>1217</v>
      </c>
      <c r="AN28" s="36">
        <f t="shared" si="33"/>
        <v>2150</v>
      </c>
      <c r="AO28" s="36">
        <v>0</v>
      </c>
      <c r="AP28" s="36">
        <v>504</v>
      </c>
      <c r="AQ28" s="36">
        <v>411</v>
      </c>
      <c r="AR28" s="36">
        <v>626</v>
      </c>
      <c r="AS28" s="36">
        <v>148</v>
      </c>
      <c r="AT28" s="36">
        <v>376</v>
      </c>
      <c r="AU28" s="36">
        <v>658</v>
      </c>
      <c r="AV28" s="36">
        <v>644</v>
      </c>
      <c r="AW28" s="36">
        <f t="shared" si="2"/>
        <v>530450</v>
      </c>
      <c r="AX28" s="36">
        <f t="shared" si="2"/>
        <v>530395</v>
      </c>
      <c r="AY28" s="36">
        <f t="shared" si="35"/>
        <v>0</v>
      </c>
      <c r="AZ28" s="36">
        <f t="shared" si="36"/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f t="shared" si="69"/>
        <v>190039</v>
      </c>
      <c r="BL28" s="36">
        <f t="shared" si="71"/>
        <v>196822</v>
      </c>
      <c r="BM28" s="36">
        <f t="shared" si="38"/>
        <v>16525</v>
      </c>
      <c r="BN28" s="36">
        <f t="shared" si="39"/>
        <v>22822</v>
      </c>
      <c r="BO28" s="36">
        <v>40678</v>
      </c>
      <c r="BP28" s="36">
        <v>47995</v>
      </c>
      <c r="BQ28" s="36">
        <v>-24153</v>
      </c>
      <c r="BR28" s="36">
        <v>-25173</v>
      </c>
      <c r="BS28" s="36">
        <f t="shared" si="40"/>
        <v>0</v>
      </c>
      <c r="BT28" s="36">
        <f t="shared" si="41"/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f t="shared" si="42"/>
        <v>160624</v>
      </c>
      <c r="BZ28" s="36">
        <f t="shared" si="43"/>
        <v>160624</v>
      </c>
      <c r="CA28" s="36">
        <v>160624</v>
      </c>
      <c r="CB28" s="36">
        <v>160624</v>
      </c>
      <c r="CC28" s="37">
        <v>0</v>
      </c>
      <c r="CD28" s="37">
        <v>0</v>
      </c>
      <c r="CE28" s="36">
        <v>12890</v>
      </c>
      <c r="CF28" s="36">
        <v>13376</v>
      </c>
      <c r="CG28" s="36">
        <f t="shared" si="45"/>
        <v>260</v>
      </c>
      <c r="CH28" s="36">
        <f t="shared" si="46"/>
        <v>267</v>
      </c>
      <c r="CI28" s="36">
        <v>2749</v>
      </c>
      <c r="CJ28" s="36">
        <v>2749</v>
      </c>
      <c r="CK28" s="36">
        <v>-2489</v>
      </c>
      <c r="CL28" s="36">
        <v>-2482</v>
      </c>
      <c r="CM28" s="36">
        <f t="shared" si="47"/>
        <v>305868</v>
      </c>
      <c r="CN28" s="36">
        <f t="shared" si="48"/>
        <v>303085</v>
      </c>
      <c r="CO28" s="36">
        <v>127033</v>
      </c>
      <c r="CP28" s="36">
        <v>127033</v>
      </c>
      <c r="CQ28" s="36">
        <v>100585</v>
      </c>
      <c r="CR28" s="36">
        <v>99935</v>
      </c>
      <c r="CS28" s="36">
        <v>87689</v>
      </c>
      <c r="CT28" s="36">
        <v>85556</v>
      </c>
      <c r="CU28" s="36">
        <v>-9439</v>
      </c>
      <c r="CV28" s="36">
        <v>-9439</v>
      </c>
      <c r="CW28" s="36">
        <f t="shared" si="50"/>
        <v>34283</v>
      </c>
      <c r="CX28" s="36">
        <f t="shared" si="51"/>
        <v>30221</v>
      </c>
      <c r="CY28" s="36">
        <v>34283</v>
      </c>
      <c r="CZ28" s="36">
        <v>30221</v>
      </c>
      <c r="DA28" s="36">
        <v>0</v>
      </c>
      <c r="DB28" s="36">
        <v>0</v>
      </c>
      <c r="DC28" s="36">
        <v>0</v>
      </c>
      <c r="DD28" s="36">
        <v>0</v>
      </c>
      <c r="DE28" s="36">
        <f t="shared" si="53"/>
        <v>621411.36</v>
      </c>
      <c r="DF28" s="36">
        <f t="shared" si="54"/>
        <v>622745.36</v>
      </c>
      <c r="DG28" s="36">
        <f t="shared" si="55"/>
        <v>222099</v>
      </c>
      <c r="DH28" s="36">
        <f t="shared" si="56"/>
        <v>231574</v>
      </c>
      <c r="DI28" s="36">
        <f t="shared" si="8"/>
        <v>42553</v>
      </c>
      <c r="DJ28" s="36">
        <f t="shared" si="9"/>
        <v>51674</v>
      </c>
      <c r="DK28" s="36">
        <v>0</v>
      </c>
      <c r="DL28" s="36">
        <v>2381</v>
      </c>
      <c r="DM28" s="36">
        <v>7941</v>
      </c>
      <c r="DN28" s="36">
        <v>9408</v>
      </c>
      <c r="DO28" s="36">
        <v>11191</v>
      </c>
      <c r="DP28" s="36">
        <v>10603</v>
      </c>
      <c r="DQ28" s="36">
        <v>7597</v>
      </c>
      <c r="DR28" s="36">
        <v>6844</v>
      </c>
      <c r="DS28" s="36">
        <v>-2820</v>
      </c>
      <c r="DT28" s="36">
        <v>-2462</v>
      </c>
      <c r="DU28" s="36">
        <v>0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24156</v>
      </c>
      <c r="EB28" s="36">
        <v>29466</v>
      </c>
      <c r="EC28" s="36">
        <v>0</v>
      </c>
      <c r="ED28" s="36">
        <v>0</v>
      </c>
      <c r="EE28" s="36">
        <v>-5512</v>
      </c>
      <c r="EF28" s="36">
        <v>-4566</v>
      </c>
      <c r="EG28" s="36">
        <f t="shared" si="70"/>
        <v>179546</v>
      </c>
      <c r="EH28" s="36">
        <f t="shared" si="65"/>
        <v>179900</v>
      </c>
      <c r="EI28" s="36">
        <v>0</v>
      </c>
      <c r="EJ28" s="36">
        <v>0</v>
      </c>
      <c r="EK28" s="36">
        <v>0</v>
      </c>
      <c r="EL28" s="36">
        <v>0</v>
      </c>
      <c r="EM28" s="36">
        <v>148097</v>
      </c>
      <c r="EN28" s="36">
        <v>147742</v>
      </c>
      <c r="EO28" s="36">
        <v>1064</v>
      </c>
      <c r="EP28" s="36">
        <v>1064</v>
      </c>
      <c r="EQ28" s="36">
        <v>0</v>
      </c>
      <c r="ER28" s="36">
        <v>0</v>
      </c>
      <c r="ES28" s="36">
        <v>0</v>
      </c>
      <c r="ET28" s="36">
        <v>0</v>
      </c>
      <c r="EU28" s="36">
        <v>0</v>
      </c>
      <c r="EV28" s="36">
        <v>0</v>
      </c>
      <c r="EW28" s="36">
        <v>30045</v>
      </c>
      <c r="EX28" s="36">
        <v>30754</v>
      </c>
      <c r="EY28" s="36">
        <v>340</v>
      </c>
      <c r="EZ28" s="36">
        <v>340</v>
      </c>
      <c r="FA28" s="36">
        <f t="shared" si="59"/>
        <v>399312.36</v>
      </c>
      <c r="FB28" s="36">
        <f t="shared" si="60"/>
        <v>391171.36</v>
      </c>
      <c r="FC28" s="36">
        <f t="shared" si="13"/>
        <v>399067.36</v>
      </c>
      <c r="FD28" s="36">
        <f t="shared" si="13"/>
        <v>390926.36</v>
      </c>
      <c r="FE28" s="36">
        <v>378045</v>
      </c>
      <c r="FF28" s="36">
        <v>377544</v>
      </c>
      <c r="FG28" s="36">
        <v>0</v>
      </c>
      <c r="FH28" s="36">
        <v>0</v>
      </c>
      <c r="FI28" s="36">
        <v>1320</v>
      </c>
      <c r="FJ28" s="36">
        <v>1320</v>
      </c>
      <c r="FK28" s="36">
        <v>0</v>
      </c>
      <c r="FL28" s="36">
        <v>0</v>
      </c>
      <c r="FM28" s="36">
        <v>0</v>
      </c>
      <c r="FN28" s="36">
        <v>0</v>
      </c>
      <c r="FO28" s="36">
        <v>0</v>
      </c>
      <c r="FP28" s="36">
        <v>0</v>
      </c>
      <c r="FQ28" s="38">
        <v>0.36</v>
      </c>
      <c r="FR28" s="38">
        <v>0.36</v>
      </c>
      <c r="FS28" s="36">
        <v>306</v>
      </c>
      <c r="FT28" s="36">
        <v>306</v>
      </c>
      <c r="FU28" s="36">
        <v>0</v>
      </c>
      <c r="FV28" s="36">
        <v>0</v>
      </c>
      <c r="FW28" s="36">
        <v>16579</v>
      </c>
      <c r="FX28" s="36">
        <v>8939</v>
      </c>
      <c r="FY28" s="36">
        <v>0</v>
      </c>
      <c r="FZ28" s="36">
        <v>0</v>
      </c>
      <c r="GA28" s="36">
        <v>2817</v>
      </c>
      <c r="GB28" s="36">
        <v>2817</v>
      </c>
      <c r="GC28" s="36">
        <f t="shared" si="62"/>
        <v>245</v>
      </c>
      <c r="GD28" s="36">
        <f t="shared" si="63"/>
        <v>245</v>
      </c>
      <c r="GE28" s="36"/>
      <c r="GF28" s="36"/>
      <c r="GG28" s="36">
        <v>28</v>
      </c>
      <c r="GH28" s="36">
        <v>28</v>
      </c>
      <c r="GI28" s="36">
        <v>217</v>
      </c>
      <c r="GJ28" s="36">
        <v>217</v>
      </c>
      <c r="GK28" s="36">
        <v>0</v>
      </c>
      <c r="GL28" s="36">
        <v>0</v>
      </c>
      <c r="GM28" s="36">
        <v>0</v>
      </c>
      <c r="GN28" s="36">
        <v>0</v>
      </c>
      <c r="GO28" s="36">
        <v>0</v>
      </c>
      <c r="GP28" s="36">
        <v>0</v>
      </c>
      <c r="GQ28" s="36">
        <v>0</v>
      </c>
      <c r="GR28" s="36">
        <v>0</v>
      </c>
      <c r="GS28" s="38">
        <v>840850.84</v>
      </c>
      <c r="GT28" s="38">
        <v>583978.51</v>
      </c>
      <c r="GU28" s="36">
        <v>0</v>
      </c>
      <c r="GV28" s="36">
        <v>0</v>
      </c>
      <c r="GW28" s="63"/>
      <c r="GX28" s="63"/>
      <c r="GY28" s="63"/>
      <c r="GZ28" s="63"/>
      <c r="HA28" s="63"/>
      <c r="HB28" s="31">
        <f t="shared" si="17"/>
        <v>0</v>
      </c>
      <c r="HC28" s="31">
        <f t="shared" si="18"/>
        <v>0</v>
      </c>
    </row>
    <row r="29" spans="1:211" s="11" customFormat="1" ht="17.25" customHeight="1">
      <c r="A29" s="19">
        <v>13</v>
      </c>
      <c r="B29" s="20" t="s">
        <v>199</v>
      </c>
      <c r="C29" s="37">
        <f t="shared" si="19"/>
        <v>280214</v>
      </c>
      <c r="D29" s="37">
        <f aca="true" t="shared" si="72" ref="D29:D50">F29+AX29</f>
        <v>262927</v>
      </c>
      <c r="E29" s="37">
        <f t="shared" si="21"/>
        <v>89965</v>
      </c>
      <c r="F29" s="37">
        <f>H29+N29+T29+AH29+AN29</f>
        <v>62725</v>
      </c>
      <c r="G29" s="37">
        <f>SUM(I29+K29)</f>
        <v>36744</v>
      </c>
      <c r="H29" s="37">
        <f>SUM(J29+L29)</f>
        <v>32921</v>
      </c>
      <c r="I29" s="37">
        <v>35744</v>
      </c>
      <c r="J29" s="37">
        <v>8647</v>
      </c>
      <c r="K29" s="37">
        <v>1000</v>
      </c>
      <c r="L29" s="37">
        <v>24274</v>
      </c>
      <c r="M29" s="37">
        <f>SUM(O29+Q29)</f>
        <v>0</v>
      </c>
      <c r="N29" s="37">
        <f>SUM(P29+R29)</f>
        <v>0</v>
      </c>
      <c r="O29" s="37">
        <v>0</v>
      </c>
      <c r="P29" s="37">
        <v>0</v>
      </c>
      <c r="Q29" s="37">
        <v>0</v>
      </c>
      <c r="R29" s="37">
        <v>0</v>
      </c>
      <c r="S29" s="37">
        <f>SUM(U29+W29+Y29+AA29+AC29+AE29)</f>
        <v>29753</v>
      </c>
      <c r="T29" s="37">
        <f>SUM(V29+X29+Z29+AB29+AD29+AF29)</f>
        <v>18745</v>
      </c>
      <c r="U29" s="37">
        <v>25856</v>
      </c>
      <c r="V29" s="37">
        <v>20117</v>
      </c>
      <c r="W29" s="37">
        <v>4294</v>
      </c>
      <c r="X29" s="37">
        <v>1739</v>
      </c>
      <c r="Y29" s="37"/>
      <c r="Z29" s="37"/>
      <c r="AA29" s="37"/>
      <c r="AB29" s="37"/>
      <c r="AC29" s="37">
        <v>16843</v>
      </c>
      <c r="AD29" s="37">
        <v>17249</v>
      </c>
      <c r="AE29" s="36">
        <v>-17240</v>
      </c>
      <c r="AF29" s="36">
        <v>-20360</v>
      </c>
      <c r="AG29" s="37">
        <f>SUM(AI29+AK29)</f>
        <v>11499</v>
      </c>
      <c r="AH29" s="37">
        <f>SUM(AJ29+AL29)</f>
        <v>2173</v>
      </c>
      <c r="AI29" s="37">
        <v>11546</v>
      </c>
      <c r="AJ29" s="37">
        <v>2220</v>
      </c>
      <c r="AK29" s="36">
        <v>-47</v>
      </c>
      <c r="AL29" s="36">
        <v>-47</v>
      </c>
      <c r="AM29" s="37">
        <f>SUM(AO29+AQ29+AS29+AU29)</f>
        <v>11969</v>
      </c>
      <c r="AN29" s="37">
        <f>SUM(AP29+AR29+AT29+AV29)</f>
        <v>8886</v>
      </c>
      <c r="AO29" s="37">
        <v>0</v>
      </c>
      <c r="AP29" s="37">
        <v>83</v>
      </c>
      <c r="AQ29" s="37">
        <v>0</v>
      </c>
      <c r="AR29" s="37">
        <v>54</v>
      </c>
      <c r="AS29" s="37">
        <v>3582</v>
      </c>
      <c r="AT29" s="37">
        <v>719</v>
      </c>
      <c r="AU29" s="37">
        <v>8387</v>
      </c>
      <c r="AV29" s="37">
        <v>8030</v>
      </c>
      <c r="AW29" s="37">
        <f aca="true" t="shared" si="73" ref="AW29:AX50">AY29+BK29+CG29+CM29+CW29</f>
        <v>190249</v>
      </c>
      <c r="AX29" s="37">
        <f t="shared" si="73"/>
        <v>200202</v>
      </c>
      <c r="AY29" s="37">
        <f>SUM(BA29,BC29,BE29,BG29,BI29)</f>
        <v>0</v>
      </c>
      <c r="AZ29" s="37">
        <f>SUM(BB29,BD29,BF29,BH29,BJ29)</f>
        <v>0</v>
      </c>
      <c r="BA29" s="37"/>
      <c r="BB29" s="37"/>
      <c r="BC29" s="37"/>
      <c r="BD29" s="37"/>
      <c r="BE29" s="37"/>
      <c r="BF29" s="37"/>
      <c r="BG29" s="37">
        <v>0</v>
      </c>
      <c r="BH29" s="37">
        <v>0</v>
      </c>
      <c r="BI29" s="36"/>
      <c r="BJ29" s="36"/>
      <c r="BK29" s="37">
        <f t="shared" si="69"/>
        <v>45224</v>
      </c>
      <c r="BL29" s="37">
        <f t="shared" si="71"/>
        <v>44273</v>
      </c>
      <c r="BM29" s="37">
        <f>BO29+BQ29</f>
        <v>12969</v>
      </c>
      <c r="BN29" s="37">
        <f>BP29+BR29</f>
        <v>10653</v>
      </c>
      <c r="BO29" s="37">
        <v>20878</v>
      </c>
      <c r="BP29" s="37">
        <v>18753</v>
      </c>
      <c r="BQ29" s="36">
        <v>-7909</v>
      </c>
      <c r="BR29" s="36">
        <v>-8100</v>
      </c>
      <c r="BS29" s="37">
        <f>BU29+BW29</f>
        <v>0</v>
      </c>
      <c r="BT29" s="37">
        <f>BV29+BX29</f>
        <v>0</v>
      </c>
      <c r="BU29" s="37"/>
      <c r="BV29" s="37"/>
      <c r="BW29" s="37"/>
      <c r="BX29" s="37"/>
      <c r="BY29" s="37">
        <f>CA29+CC29</f>
        <v>0</v>
      </c>
      <c r="BZ29" s="37">
        <f>CB29+CD29</f>
        <v>12</v>
      </c>
      <c r="CA29" s="37">
        <v>0</v>
      </c>
      <c r="CB29" s="37">
        <v>13</v>
      </c>
      <c r="CC29" s="37">
        <v>0</v>
      </c>
      <c r="CD29" s="37">
        <v>-1</v>
      </c>
      <c r="CE29" s="37">
        <v>32255</v>
      </c>
      <c r="CF29" s="37">
        <v>33608</v>
      </c>
      <c r="CG29" s="37">
        <f>CI29+CK29</f>
        <v>1682</v>
      </c>
      <c r="CH29" s="37">
        <f>CJ29+CL29</f>
        <v>1820</v>
      </c>
      <c r="CI29" s="37">
        <v>3444</v>
      </c>
      <c r="CJ29" s="37">
        <v>3444</v>
      </c>
      <c r="CK29" s="36">
        <v>-1762</v>
      </c>
      <c r="CL29" s="36">
        <v>-1624</v>
      </c>
      <c r="CM29" s="37">
        <f>CO29+CQ29+CS29+CU29</f>
        <v>141698</v>
      </c>
      <c r="CN29" s="37">
        <f>CP29+CR29+CT29+CV29</f>
        <v>153754</v>
      </c>
      <c r="CO29" s="37">
        <v>36433</v>
      </c>
      <c r="CP29" s="37">
        <v>36433</v>
      </c>
      <c r="CQ29" s="37">
        <v>57171</v>
      </c>
      <c r="CR29" s="37">
        <v>63171</v>
      </c>
      <c r="CS29" s="37">
        <v>50954</v>
      </c>
      <c r="CT29" s="37">
        <v>58343</v>
      </c>
      <c r="CU29" s="36">
        <v>-2860</v>
      </c>
      <c r="CV29" s="36">
        <v>-4193</v>
      </c>
      <c r="CW29" s="37">
        <f>CY29+DA29+DC29</f>
        <v>1645</v>
      </c>
      <c r="CX29" s="37">
        <f>CZ29+DB29+DD29</f>
        <v>355</v>
      </c>
      <c r="CY29" s="37">
        <v>1645</v>
      </c>
      <c r="CZ29" s="37">
        <v>355</v>
      </c>
      <c r="DA29" s="37">
        <v>0</v>
      </c>
      <c r="DB29" s="37">
        <v>0</v>
      </c>
      <c r="DC29" s="37">
        <v>0</v>
      </c>
      <c r="DD29" s="37">
        <v>0</v>
      </c>
      <c r="DE29" s="37">
        <f t="shared" si="53"/>
        <v>280214</v>
      </c>
      <c r="DF29" s="37">
        <f>DH29+FB29</f>
        <v>262927</v>
      </c>
      <c r="DG29" s="37">
        <f>DI29+EG29</f>
        <v>76624</v>
      </c>
      <c r="DH29" s="37">
        <f>DJ29+EH29</f>
        <v>75795</v>
      </c>
      <c r="DI29" s="37">
        <f aca="true" t="shared" si="74" ref="DI29:DI50">DK29+DM29+DO29+DQ29+DS29+DU29+DW29+DY29+EA29+EC29+EE29</f>
        <v>26065</v>
      </c>
      <c r="DJ29" s="37">
        <f aca="true" t="shared" si="75" ref="DJ29:DJ50">DL29+DN29+DP29+DR29+DT29+DV29+DX29+DZ29+EB29+ED29+EF29</f>
        <v>17789</v>
      </c>
      <c r="DK29" s="37">
        <v>0</v>
      </c>
      <c r="DL29" s="37">
        <v>0</v>
      </c>
      <c r="DM29" s="37">
        <v>10312</v>
      </c>
      <c r="DN29" s="37">
        <v>678</v>
      </c>
      <c r="DO29" s="37">
        <v>3452</v>
      </c>
      <c r="DP29" s="37">
        <v>2231</v>
      </c>
      <c r="DQ29" s="37">
        <v>53</v>
      </c>
      <c r="DR29" s="37">
        <v>102</v>
      </c>
      <c r="DS29" s="37">
        <v>1908</v>
      </c>
      <c r="DT29" s="37">
        <v>54</v>
      </c>
      <c r="DU29" s="37">
        <v>0</v>
      </c>
      <c r="DV29" s="37">
        <v>0</v>
      </c>
      <c r="DW29" s="37"/>
      <c r="DX29" s="37"/>
      <c r="DY29" s="37"/>
      <c r="DZ29" s="37"/>
      <c r="EA29" s="37">
        <v>8056</v>
      </c>
      <c r="EB29" s="37">
        <v>16524</v>
      </c>
      <c r="EC29" s="37"/>
      <c r="ED29" s="37"/>
      <c r="EE29" s="37">
        <v>2284</v>
      </c>
      <c r="EF29" s="37">
        <v>-1800</v>
      </c>
      <c r="EG29" s="36">
        <f t="shared" si="70"/>
        <v>50559</v>
      </c>
      <c r="EH29" s="36">
        <f t="shared" si="65"/>
        <v>58006</v>
      </c>
      <c r="EI29" s="37"/>
      <c r="EJ29" s="37"/>
      <c r="EK29" s="37"/>
      <c r="EL29" s="37"/>
      <c r="EM29" s="37">
        <v>50371</v>
      </c>
      <c r="EN29" s="37">
        <v>57818</v>
      </c>
      <c r="EO29" s="37">
        <v>0</v>
      </c>
      <c r="EP29" s="37">
        <v>0</v>
      </c>
      <c r="EQ29" s="37"/>
      <c r="ER29" s="37"/>
      <c r="ES29" s="37"/>
      <c r="ET29" s="37"/>
      <c r="EU29" s="37"/>
      <c r="EV29" s="37"/>
      <c r="EW29" s="37">
        <v>0</v>
      </c>
      <c r="EX29" s="37">
        <v>0</v>
      </c>
      <c r="EY29" s="37">
        <v>188</v>
      </c>
      <c r="EZ29" s="37">
        <v>188</v>
      </c>
      <c r="FA29" s="37">
        <f>FC29+GC29</f>
        <v>203590</v>
      </c>
      <c r="FB29" s="37">
        <f>FD29+GD29</f>
        <v>187132</v>
      </c>
      <c r="FC29" s="37">
        <f aca="true" t="shared" si="76" ref="FC29:FC50">FE29+FG29+FI29+FK29+FM29+FO29+FQ29+FS29+FU29+FW29+FY29+GA29</f>
        <v>203590</v>
      </c>
      <c r="FD29" s="37">
        <f aca="true" t="shared" si="77" ref="FD29:FD50">FF29+FH29+FJ29+FL29+FN29+FP29+FR29+FT29+FV29+FX29+FZ29+GB29</f>
        <v>187132</v>
      </c>
      <c r="FE29" s="37">
        <v>190735</v>
      </c>
      <c r="FF29" s="37">
        <v>139233</v>
      </c>
      <c r="FG29" s="37"/>
      <c r="FH29" s="37"/>
      <c r="FI29" s="37">
        <v>0</v>
      </c>
      <c r="FJ29" s="37"/>
      <c r="FK29" s="37"/>
      <c r="FL29" s="37"/>
      <c r="FM29" s="37">
        <v>0</v>
      </c>
      <c r="FN29" s="37">
        <v>0</v>
      </c>
      <c r="FO29" s="37"/>
      <c r="FP29" s="37"/>
      <c r="FQ29" s="37">
        <v>0</v>
      </c>
      <c r="FR29" s="37">
        <v>0</v>
      </c>
      <c r="FS29" s="37">
        <v>0</v>
      </c>
      <c r="FT29" s="37">
        <v>3474</v>
      </c>
      <c r="FU29" s="37"/>
      <c r="FV29" s="37"/>
      <c r="FW29" s="37">
        <v>6614</v>
      </c>
      <c r="FX29" s="37">
        <v>44425</v>
      </c>
      <c r="FY29" s="37">
        <v>0</v>
      </c>
      <c r="FZ29" s="37">
        <v>0</v>
      </c>
      <c r="GA29" s="37">
        <v>6241</v>
      </c>
      <c r="GB29" s="37">
        <v>0</v>
      </c>
      <c r="GC29" s="37">
        <f>GE29+GG29+GI29</f>
        <v>0</v>
      </c>
      <c r="GD29" s="37">
        <f>GF29+GH29+GJ29</f>
        <v>0</v>
      </c>
      <c r="GE29" s="37"/>
      <c r="GF29" s="37"/>
      <c r="GG29" s="37"/>
      <c r="GH29" s="37"/>
      <c r="GI29" s="37"/>
      <c r="GJ29" s="37"/>
      <c r="GK29" s="37"/>
      <c r="GL29" s="37"/>
      <c r="GM29" s="37">
        <v>0</v>
      </c>
      <c r="GN29" s="37">
        <v>0</v>
      </c>
      <c r="GO29" s="37"/>
      <c r="GP29" s="37"/>
      <c r="GQ29" s="37">
        <v>1826</v>
      </c>
      <c r="GR29" s="37">
        <v>0</v>
      </c>
      <c r="GS29" s="37">
        <v>6</v>
      </c>
      <c r="GT29" s="37">
        <v>0</v>
      </c>
      <c r="GU29" s="37"/>
      <c r="GV29" s="37"/>
      <c r="GW29" s="60"/>
      <c r="GX29" s="60"/>
      <c r="GY29" s="60"/>
      <c r="GZ29" s="60"/>
      <c r="HA29" s="60"/>
      <c r="HB29" s="31">
        <f t="shared" si="17"/>
        <v>0</v>
      </c>
      <c r="HC29" s="31">
        <f t="shared" si="18"/>
        <v>0</v>
      </c>
    </row>
    <row r="30" spans="1:211" s="11" customFormat="1" ht="17.25" customHeight="1">
      <c r="A30" s="19">
        <v>14</v>
      </c>
      <c r="B30" s="20" t="s">
        <v>250</v>
      </c>
      <c r="C30" s="40">
        <f t="shared" si="19"/>
        <v>1804966</v>
      </c>
      <c r="D30" s="40">
        <f t="shared" si="72"/>
        <v>3092180</v>
      </c>
      <c r="E30" s="40">
        <f t="shared" si="21"/>
        <v>1023921</v>
      </c>
      <c r="F30" s="40">
        <f>H30+N30+T30+AH30+AN30</f>
        <v>2409994</v>
      </c>
      <c r="G30" s="40">
        <f>SUM(I30+K30)</f>
        <v>33639</v>
      </c>
      <c r="H30" s="40">
        <f>SUM(J30+L30)</f>
        <v>1091296</v>
      </c>
      <c r="I30" s="40">
        <v>33639</v>
      </c>
      <c r="J30" s="40">
        <v>48785</v>
      </c>
      <c r="K30" s="44">
        <v>0</v>
      </c>
      <c r="L30" s="40">
        <v>1042511</v>
      </c>
      <c r="M30" s="44">
        <f>SUM(O30+Q30)</f>
        <v>0</v>
      </c>
      <c r="N30" s="44">
        <f>SUM(P30+R30)</f>
        <v>0</v>
      </c>
      <c r="O30" s="44">
        <v>0</v>
      </c>
      <c r="P30" s="44">
        <v>0</v>
      </c>
      <c r="Q30" s="44">
        <v>0</v>
      </c>
      <c r="R30" s="44">
        <v>0</v>
      </c>
      <c r="S30" s="40">
        <f>SUM(U30+W30+Y30+AA30+AC30+AE30)</f>
        <v>72129</v>
      </c>
      <c r="T30" s="40">
        <f>SUM(V30+X30+Z30+AB30+AD30+AF30)</f>
        <v>119326</v>
      </c>
      <c r="U30" s="40">
        <v>1976</v>
      </c>
      <c r="V30" s="40">
        <v>2139</v>
      </c>
      <c r="W30" s="40">
        <v>10099</v>
      </c>
      <c r="X30" s="40">
        <v>36709</v>
      </c>
      <c r="Y30" s="44">
        <v>0</v>
      </c>
      <c r="Z30" s="44">
        <v>0</v>
      </c>
      <c r="AA30" s="44">
        <v>0</v>
      </c>
      <c r="AB30" s="44">
        <v>0</v>
      </c>
      <c r="AC30" s="40">
        <v>60054</v>
      </c>
      <c r="AD30" s="40">
        <v>81577</v>
      </c>
      <c r="AE30" s="36">
        <v>0</v>
      </c>
      <c r="AF30" s="36">
        <v>-1099</v>
      </c>
      <c r="AG30" s="40">
        <f>SUM(AI30+AK30)</f>
        <v>911303</v>
      </c>
      <c r="AH30" s="40">
        <f>SUM(AJ30+AL30)</f>
        <v>1197395</v>
      </c>
      <c r="AI30" s="40">
        <v>911303</v>
      </c>
      <c r="AJ30" s="40">
        <v>1197395</v>
      </c>
      <c r="AK30" s="36">
        <v>0</v>
      </c>
      <c r="AL30" s="36">
        <v>0</v>
      </c>
      <c r="AM30" s="40">
        <f>SUM(AO30+AQ30+AS30+AU30)</f>
        <v>6850</v>
      </c>
      <c r="AN30" s="40">
        <f>SUM(AP30+AR30+AT30+AV30)</f>
        <v>1977</v>
      </c>
      <c r="AO30" s="44">
        <v>0</v>
      </c>
      <c r="AP30" s="44">
        <v>957</v>
      </c>
      <c r="AQ30" s="44">
        <v>0</v>
      </c>
      <c r="AR30" s="44">
        <v>0</v>
      </c>
      <c r="AS30" s="44">
        <v>294</v>
      </c>
      <c r="AT30" s="44">
        <v>0</v>
      </c>
      <c r="AU30" s="40">
        <v>6556</v>
      </c>
      <c r="AV30" s="40">
        <v>1020</v>
      </c>
      <c r="AW30" s="40">
        <f t="shared" si="73"/>
        <v>781045</v>
      </c>
      <c r="AX30" s="40">
        <f t="shared" si="73"/>
        <v>682186</v>
      </c>
      <c r="AY30" s="44">
        <f>SUM(BA30,BC30,BE30,BG30,BI30)</f>
        <v>0</v>
      </c>
      <c r="AZ30" s="44">
        <f>SUM(BB30,BD30,BF30,BH30,BJ30)</f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36">
        <v>0</v>
      </c>
      <c r="BJ30" s="36">
        <v>0</v>
      </c>
      <c r="BK30" s="37">
        <f t="shared" si="69"/>
        <v>129476</v>
      </c>
      <c r="BL30" s="40">
        <f t="shared" si="71"/>
        <v>71747</v>
      </c>
      <c r="BM30" s="40">
        <f>BO30+BQ30</f>
        <v>106108</v>
      </c>
      <c r="BN30" s="40">
        <f>BP30+BR30</f>
        <v>71747</v>
      </c>
      <c r="BO30" s="40">
        <v>147979</v>
      </c>
      <c r="BP30" s="40">
        <v>108896</v>
      </c>
      <c r="BQ30" s="36">
        <v>-41871</v>
      </c>
      <c r="BR30" s="36">
        <v>-37149</v>
      </c>
      <c r="BS30" s="44">
        <f>BU30+BW30</f>
        <v>0</v>
      </c>
      <c r="BT30" s="44">
        <f>BV30+BX30</f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f>CA30+CC30</f>
        <v>0</v>
      </c>
      <c r="BZ30" s="44">
        <f>CB30+CD30</f>
        <v>0</v>
      </c>
      <c r="CA30" s="44">
        <v>0</v>
      </c>
      <c r="CB30" s="44">
        <v>0</v>
      </c>
      <c r="CC30" s="37">
        <v>0</v>
      </c>
      <c r="CD30" s="37">
        <v>0</v>
      </c>
      <c r="CE30" s="40">
        <v>23368</v>
      </c>
      <c r="CF30" s="44">
        <v>0</v>
      </c>
      <c r="CG30" s="44">
        <f>CI30+CK30</f>
        <v>0</v>
      </c>
      <c r="CH30" s="44">
        <f>CJ30+CL30</f>
        <v>0</v>
      </c>
      <c r="CI30" s="44">
        <v>0</v>
      </c>
      <c r="CJ30" s="44">
        <v>0</v>
      </c>
      <c r="CK30" s="36">
        <v>0</v>
      </c>
      <c r="CL30" s="36">
        <v>0</v>
      </c>
      <c r="CM30" s="40">
        <f>CO30+CQ30+CS30+CU30</f>
        <v>632097</v>
      </c>
      <c r="CN30" s="40">
        <f>CP30+CR30+CT30+CV30</f>
        <v>590230</v>
      </c>
      <c r="CO30" s="40">
        <v>35874</v>
      </c>
      <c r="CP30" s="40">
        <v>35874</v>
      </c>
      <c r="CQ30" s="40">
        <v>269683</v>
      </c>
      <c r="CR30" s="40">
        <v>279883</v>
      </c>
      <c r="CS30" s="40">
        <v>429779</v>
      </c>
      <c r="CT30" s="40">
        <v>356058</v>
      </c>
      <c r="CU30" s="36">
        <v>-103239</v>
      </c>
      <c r="CV30" s="36">
        <v>-81585</v>
      </c>
      <c r="CW30" s="40">
        <f>CY30+DA30+DC30</f>
        <v>19472</v>
      </c>
      <c r="CX30" s="40">
        <f>CZ30+DB30+DD30</f>
        <v>20209</v>
      </c>
      <c r="CY30" s="40">
        <v>19385</v>
      </c>
      <c r="CZ30" s="40">
        <v>20209</v>
      </c>
      <c r="DA30" s="44">
        <v>0</v>
      </c>
      <c r="DB30" s="44">
        <v>0</v>
      </c>
      <c r="DC30" s="44">
        <v>87</v>
      </c>
      <c r="DD30" s="44">
        <v>0</v>
      </c>
      <c r="DE30" s="40">
        <f t="shared" si="53"/>
        <v>1804966</v>
      </c>
      <c r="DF30" s="40">
        <f>DH30+FB30</f>
        <v>3092180</v>
      </c>
      <c r="DG30" s="40">
        <f>DI30+EG30</f>
        <v>146545</v>
      </c>
      <c r="DH30" s="40">
        <f>DJ30+EH30</f>
        <v>1570630</v>
      </c>
      <c r="DI30" s="40">
        <f t="shared" si="74"/>
        <v>98341</v>
      </c>
      <c r="DJ30" s="40">
        <f t="shared" si="75"/>
        <v>1549590</v>
      </c>
      <c r="DK30" s="40">
        <v>1300</v>
      </c>
      <c r="DL30" s="40">
        <v>401300</v>
      </c>
      <c r="DM30" s="40">
        <v>1317</v>
      </c>
      <c r="DN30" s="40">
        <v>1073</v>
      </c>
      <c r="DO30" s="40">
        <v>6035</v>
      </c>
      <c r="DP30" s="40">
        <v>8409</v>
      </c>
      <c r="DQ30" s="40">
        <v>38660</v>
      </c>
      <c r="DR30" s="40">
        <v>23251</v>
      </c>
      <c r="DS30" s="40">
        <v>6215</v>
      </c>
      <c r="DT30" s="40">
        <v>10713</v>
      </c>
      <c r="DU30" s="44">
        <v>0</v>
      </c>
      <c r="DV30" s="44">
        <v>0</v>
      </c>
      <c r="DW30" s="44">
        <v>0</v>
      </c>
      <c r="DX30" s="44">
        <v>0</v>
      </c>
      <c r="DY30" s="44">
        <v>0</v>
      </c>
      <c r="DZ30" s="44">
        <v>0</v>
      </c>
      <c r="EA30" s="40">
        <v>45371</v>
      </c>
      <c r="EB30" s="40">
        <v>1095356</v>
      </c>
      <c r="EC30" s="44">
        <v>0</v>
      </c>
      <c r="ED30" s="44">
        <v>0</v>
      </c>
      <c r="EE30" s="44">
        <v>-557</v>
      </c>
      <c r="EF30" s="40">
        <v>9488</v>
      </c>
      <c r="EG30" s="36">
        <f t="shared" si="70"/>
        <v>48204</v>
      </c>
      <c r="EH30" s="36">
        <f t="shared" si="65"/>
        <v>21040</v>
      </c>
      <c r="EI30" s="44">
        <v>0</v>
      </c>
      <c r="EJ30" s="44">
        <v>0</v>
      </c>
      <c r="EK30" s="44">
        <v>0</v>
      </c>
      <c r="EL30" s="44">
        <v>0</v>
      </c>
      <c r="EM30" s="44">
        <v>0</v>
      </c>
      <c r="EN30" s="40">
        <v>1040</v>
      </c>
      <c r="EO30" s="44">
        <v>0</v>
      </c>
      <c r="EP30" s="44">
        <v>0</v>
      </c>
      <c r="EQ30" s="44">
        <v>0</v>
      </c>
      <c r="ER30" s="44">
        <v>0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0">
        <v>48204</v>
      </c>
      <c r="EZ30" s="40">
        <v>20000</v>
      </c>
      <c r="FA30" s="40">
        <f>FC30+GC30</f>
        <v>1658421</v>
      </c>
      <c r="FB30" s="40">
        <f>FD30+GD30</f>
        <v>1521550</v>
      </c>
      <c r="FC30" s="40">
        <f t="shared" si="76"/>
        <v>1658421</v>
      </c>
      <c r="FD30" s="40">
        <f t="shared" si="77"/>
        <v>1521550</v>
      </c>
      <c r="FE30" s="40">
        <v>978182</v>
      </c>
      <c r="FF30" s="40">
        <v>978182</v>
      </c>
      <c r="FG30" s="44">
        <v>0</v>
      </c>
      <c r="FH30" s="44">
        <v>0</v>
      </c>
      <c r="FI30" s="44">
        <v>0</v>
      </c>
      <c r="FJ30" s="44">
        <v>0</v>
      </c>
      <c r="FK30" s="44">
        <v>0</v>
      </c>
      <c r="FL30" s="44">
        <v>0</v>
      </c>
      <c r="FM30" s="44">
        <v>0</v>
      </c>
      <c r="FN30" s="44">
        <v>0</v>
      </c>
      <c r="FO30" s="44">
        <v>0</v>
      </c>
      <c r="FP30" s="44">
        <v>0</v>
      </c>
      <c r="FQ30" s="40">
        <v>155827</v>
      </c>
      <c r="FR30" s="40">
        <v>155827</v>
      </c>
      <c r="FS30" s="40">
        <v>93198</v>
      </c>
      <c r="FT30" s="40">
        <v>93198</v>
      </c>
      <c r="FU30" s="44">
        <v>0</v>
      </c>
      <c r="FV30" s="44">
        <v>0</v>
      </c>
      <c r="FW30" s="40">
        <v>431214</v>
      </c>
      <c r="FX30" s="40">
        <v>294343</v>
      </c>
      <c r="FY30" s="44">
        <v>0</v>
      </c>
      <c r="FZ30" s="44">
        <v>0</v>
      </c>
      <c r="GA30" s="44">
        <v>0</v>
      </c>
      <c r="GB30" s="44">
        <v>0</v>
      </c>
      <c r="GC30" s="44">
        <f>GE30+GG30+GI30</f>
        <v>0</v>
      </c>
      <c r="GD30" s="44">
        <f>GF30+GH30+GJ30</f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/>
      <c r="GO30" s="44">
        <v>0</v>
      </c>
      <c r="GP30" s="44">
        <v>0</v>
      </c>
      <c r="GQ30" s="40">
        <v>1099</v>
      </c>
      <c r="GR30" s="44">
        <v>0</v>
      </c>
      <c r="GS30" s="45">
        <v>113674.6</v>
      </c>
      <c r="GT30" s="40">
        <v>90847</v>
      </c>
      <c r="GU30" s="44"/>
      <c r="GV30" s="44"/>
      <c r="GW30" s="60"/>
      <c r="GX30" s="60"/>
      <c r="GY30" s="60"/>
      <c r="GZ30" s="60"/>
      <c r="HA30" s="60"/>
      <c r="HB30" s="31">
        <f t="shared" si="17"/>
        <v>0</v>
      </c>
      <c r="HC30" s="31">
        <f t="shared" si="18"/>
        <v>0</v>
      </c>
    </row>
    <row r="31" spans="1:211" s="12" customFormat="1" ht="18.75" customHeight="1">
      <c r="A31" s="21">
        <v>15</v>
      </c>
      <c r="B31" s="22" t="s">
        <v>248</v>
      </c>
      <c r="C31" s="37">
        <f t="shared" si="19"/>
        <v>4677529</v>
      </c>
      <c r="D31" s="37">
        <f t="shared" si="72"/>
        <v>4503944</v>
      </c>
      <c r="E31" s="37">
        <f t="shared" si="21"/>
        <v>858279</v>
      </c>
      <c r="F31" s="37">
        <f t="shared" si="22"/>
        <v>918669</v>
      </c>
      <c r="G31" s="37">
        <f t="shared" si="23"/>
        <v>230501</v>
      </c>
      <c r="H31" s="37">
        <f t="shared" si="24"/>
        <v>229324</v>
      </c>
      <c r="I31" s="37">
        <v>11542</v>
      </c>
      <c r="J31" s="37">
        <v>44792</v>
      </c>
      <c r="K31" s="37">
        <v>218959</v>
      </c>
      <c r="L31" s="37">
        <v>184532</v>
      </c>
      <c r="M31" s="37">
        <f t="shared" si="25"/>
        <v>10000</v>
      </c>
      <c r="N31" s="37">
        <f t="shared" si="26"/>
        <v>10800</v>
      </c>
      <c r="O31" s="37">
        <v>10000</v>
      </c>
      <c r="P31" s="37">
        <v>10800</v>
      </c>
      <c r="Q31" s="37">
        <v>0</v>
      </c>
      <c r="R31" s="37">
        <v>0</v>
      </c>
      <c r="S31" s="37">
        <f t="shared" si="27"/>
        <v>560935</v>
      </c>
      <c r="T31" s="37">
        <f t="shared" si="28"/>
        <v>622619</v>
      </c>
      <c r="U31" s="37">
        <v>47763</v>
      </c>
      <c r="V31" s="37">
        <v>48778</v>
      </c>
      <c r="W31" s="37">
        <v>101987</v>
      </c>
      <c r="X31" s="37">
        <v>115350</v>
      </c>
      <c r="Y31" s="37"/>
      <c r="Z31" s="37"/>
      <c r="AA31" s="37"/>
      <c r="AB31" s="37"/>
      <c r="AC31" s="37">
        <v>411185</v>
      </c>
      <c r="AD31" s="37">
        <v>458491</v>
      </c>
      <c r="AE31" s="36"/>
      <c r="AF31" s="36"/>
      <c r="AG31" s="37">
        <f t="shared" si="30"/>
        <v>43533</v>
      </c>
      <c r="AH31" s="37">
        <f t="shared" si="31"/>
        <v>43623</v>
      </c>
      <c r="AI31" s="37">
        <v>43533</v>
      </c>
      <c r="AJ31" s="37">
        <v>43623</v>
      </c>
      <c r="AK31" s="36">
        <v>0</v>
      </c>
      <c r="AL31" s="36">
        <v>0</v>
      </c>
      <c r="AM31" s="37">
        <f t="shared" si="32"/>
        <v>13310</v>
      </c>
      <c r="AN31" s="37">
        <f t="shared" si="33"/>
        <v>12303</v>
      </c>
      <c r="AO31" s="37">
        <v>14</v>
      </c>
      <c r="AP31" s="37"/>
      <c r="AQ31" s="37"/>
      <c r="AR31" s="37">
        <v>5769</v>
      </c>
      <c r="AS31" s="37">
        <v>11701</v>
      </c>
      <c r="AT31" s="37">
        <v>4876</v>
      </c>
      <c r="AU31" s="37">
        <v>1595</v>
      </c>
      <c r="AV31" s="37">
        <v>1658</v>
      </c>
      <c r="AW31" s="37">
        <f t="shared" si="73"/>
        <v>3819250</v>
      </c>
      <c r="AX31" s="37">
        <f t="shared" si="73"/>
        <v>3585275</v>
      </c>
      <c r="AY31" s="37">
        <f t="shared" si="35"/>
        <v>36067</v>
      </c>
      <c r="AZ31" s="37">
        <f t="shared" si="36"/>
        <v>29505</v>
      </c>
      <c r="BA31" s="37"/>
      <c r="BB31" s="37"/>
      <c r="BC31" s="37"/>
      <c r="BD31" s="37"/>
      <c r="BE31" s="37"/>
      <c r="BF31" s="37"/>
      <c r="BG31" s="37">
        <v>36067</v>
      </c>
      <c r="BH31" s="37">
        <v>29505</v>
      </c>
      <c r="BI31" s="36"/>
      <c r="BJ31" s="36"/>
      <c r="BK31" s="37">
        <f t="shared" si="69"/>
        <v>1844581</v>
      </c>
      <c r="BL31" s="37">
        <f t="shared" si="71"/>
        <v>1800067</v>
      </c>
      <c r="BM31" s="37">
        <f t="shared" si="38"/>
        <v>165947</v>
      </c>
      <c r="BN31" s="37">
        <f t="shared" si="39"/>
        <v>238568</v>
      </c>
      <c r="BO31" s="37">
        <v>212505</v>
      </c>
      <c r="BP31" s="37">
        <v>276456</v>
      </c>
      <c r="BQ31" s="36">
        <v>-46558</v>
      </c>
      <c r="BR31" s="36">
        <v>-37888</v>
      </c>
      <c r="BS31" s="37">
        <f t="shared" si="40"/>
        <v>0</v>
      </c>
      <c r="BT31" s="37">
        <f t="shared" si="41"/>
        <v>0</v>
      </c>
      <c r="BU31" s="37"/>
      <c r="BV31" s="37"/>
      <c r="BW31" s="37"/>
      <c r="BX31" s="37"/>
      <c r="BY31" s="37">
        <f t="shared" si="42"/>
        <v>89</v>
      </c>
      <c r="BZ31" s="37">
        <f t="shared" si="43"/>
        <v>181</v>
      </c>
      <c r="CA31" s="37">
        <v>222</v>
      </c>
      <c r="CB31" s="37">
        <v>307</v>
      </c>
      <c r="CC31" s="37">
        <v>-133</v>
      </c>
      <c r="CD31" s="37">
        <v>-126</v>
      </c>
      <c r="CE31" s="37">
        <v>1678545</v>
      </c>
      <c r="CF31" s="37">
        <v>1561318</v>
      </c>
      <c r="CG31" s="37">
        <f t="shared" si="45"/>
        <v>0</v>
      </c>
      <c r="CH31" s="37">
        <f t="shared" si="46"/>
        <v>0</v>
      </c>
      <c r="CI31" s="37"/>
      <c r="CJ31" s="37"/>
      <c r="CK31" s="36"/>
      <c r="CL31" s="36"/>
      <c r="CM31" s="37">
        <f t="shared" si="47"/>
        <v>1773013</v>
      </c>
      <c r="CN31" s="37">
        <f t="shared" si="48"/>
        <v>1588393</v>
      </c>
      <c r="CO31" s="37">
        <v>891924</v>
      </c>
      <c r="CP31" s="37">
        <v>735440</v>
      </c>
      <c r="CQ31" s="37">
        <v>724779</v>
      </c>
      <c r="CR31" s="37">
        <v>724779</v>
      </c>
      <c r="CS31" s="37">
        <v>189959</v>
      </c>
      <c r="CT31" s="37">
        <v>169935</v>
      </c>
      <c r="CU31" s="36">
        <v>-33649</v>
      </c>
      <c r="CV31" s="36">
        <v>-41761</v>
      </c>
      <c r="CW31" s="37">
        <f t="shared" si="50"/>
        <v>165589</v>
      </c>
      <c r="CX31" s="37">
        <f t="shared" si="51"/>
        <v>167310</v>
      </c>
      <c r="CY31" s="37">
        <v>164493</v>
      </c>
      <c r="CZ31" s="37">
        <v>166342</v>
      </c>
      <c r="DA31" s="37">
        <v>8</v>
      </c>
      <c r="DB31" s="37"/>
      <c r="DC31" s="37">
        <v>1088</v>
      </c>
      <c r="DD31" s="37">
        <v>968</v>
      </c>
      <c r="DE31" s="37">
        <f t="shared" si="53"/>
        <v>4677529</v>
      </c>
      <c r="DF31" s="37">
        <f t="shared" si="54"/>
        <v>4503944</v>
      </c>
      <c r="DG31" s="37">
        <f t="shared" si="55"/>
        <v>1191835</v>
      </c>
      <c r="DH31" s="37">
        <f t="shared" si="56"/>
        <v>1493268</v>
      </c>
      <c r="DI31" s="37">
        <f t="shared" si="74"/>
        <v>110344</v>
      </c>
      <c r="DJ31" s="37">
        <f t="shared" si="75"/>
        <v>152125</v>
      </c>
      <c r="DK31" s="37"/>
      <c r="DL31" s="37"/>
      <c r="DM31" s="37">
        <v>17132</v>
      </c>
      <c r="DN31" s="37">
        <v>5110</v>
      </c>
      <c r="DO31" s="37">
        <v>90</v>
      </c>
      <c r="DP31" s="37">
        <v>371</v>
      </c>
      <c r="DQ31" s="37">
        <v>167</v>
      </c>
      <c r="DR31" s="37">
        <v>648</v>
      </c>
      <c r="DS31" s="37">
        <v>21530</v>
      </c>
      <c r="DT31" s="37">
        <v>14231</v>
      </c>
      <c r="DU31" s="37">
        <v>33942</v>
      </c>
      <c r="DV31" s="37">
        <v>105092</v>
      </c>
      <c r="DW31" s="37"/>
      <c r="DX31" s="37"/>
      <c r="DY31" s="37"/>
      <c r="DZ31" s="37"/>
      <c r="EA31" s="37">
        <v>28236</v>
      </c>
      <c r="EB31" s="37">
        <v>19602</v>
      </c>
      <c r="EC31" s="37"/>
      <c r="ED31" s="37"/>
      <c r="EE31" s="37">
        <v>9247</v>
      </c>
      <c r="EF31" s="37">
        <v>7071</v>
      </c>
      <c r="EG31" s="36">
        <f t="shared" si="70"/>
        <v>1081491</v>
      </c>
      <c r="EH31" s="36">
        <f t="shared" si="65"/>
        <v>1341143</v>
      </c>
      <c r="EI31" s="37"/>
      <c r="EJ31" s="37"/>
      <c r="EK31" s="37"/>
      <c r="EL31" s="37"/>
      <c r="EM31" s="37">
        <v>11452</v>
      </c>
      <c r="EN31" s="37">
        <v>4769</v>
      </c>
      <c r="EO31" s="37">
        <v>20025</v>
      </c>
      <c r="EP31" s="37"/>
      <c r="EQ31" s="37"/>
      <c r="ER31" s="37"/>
      <c r="ES31" s="37"/>
      <c r="ET31" s="37"/>
      <c r="EU31" s="37">
        <v>1020851</v>
      </c>
      <c r="EV31" s="37">
        <v>1206366</v>
      </c>
      <c r="EW31" s="37">
        <v>29033</v>
      </c>
      <c r="EX31" s="37">
        <v>130008</v>
      </c>
      <c r="EY31" s="37">
        <v>130</v>
      </c>
      <c r="EZ31" s="37">
        <v>0</v>
      </c>
      <c r="FA31" s="37">
        <f t="shared" si="59"/>
        <v>3485694</v>
      </c>
      <c r="FB31" s="37">
        <f t="shared" si="60"/>
        <v>3010676</v>
      </c>
      <c r="FC31" s="37">
        <f t="shared" si="76"/>
        <v>3485694</v>
      </c>
      <c r="FD31" s="37">
        <f t="shared" si="77"/>
        <v>3010676</v>
      </c>
      <c r="FE31" s="37">
        <v>2905184</v>
      </c>
      <c r="FF31" s="37">
        <v>2020938</v>
      </c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>
        <v>190789</v>
      </c>
      <c r="FR31" s="37">
        <v>16259</v>
      </c>
      <c r="FS31" s="37">
        <v>0</v>
      </c>
      <c r="FT31" s="37">
        <v>85288</v>
      </c>
      <c r="FU31" s="37"/>
      <c r="FV31" s="37"/>
      <c r="FW31" s="37">
        <v>245418</v>
      </c>
      <c r="FX31" s="37">
        <v>750392</v>
      </c>
      <c r="FY31" s="37">
        <v>144303</v>
      </c>
      <c r="FZ31" s="37">
        <v>137799</v>
      </c>
      <c r="GA31" s="37"/>
      <c r="GB31" s="37"/>
      <c r="GC31" s="37">
        <f t="shared" si="62"/>
        <v>0</v>
      </c>
      <c r="GD31" s="37">
        <f t="shared" si="63"/>
        <v>0</v>
      </c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>
        <v>1742</v>
      </c>
      <c r="GR31" s="37">
        <v>1742</v>
      </c>
      <c r="GS31" s="46">
        <v>10316</v>
      </c>
      <c r="GT31" s="46">
        <v>18747</v>
      </c>
      <c r="GU31" s="37"/>
      <c r="GV31" s="37"/>
      <c r="GW31" s="66"/>
      <c r="GX31" s="66"/>
      <c r="GY31" s="66"/>
      <c r="GZ31" s="66"/>
      <c r="HA31" s="66"/>
      <c r="HB31" s="31">
        <f t="shared" si="17"/>
        <v>0</v>
      </c>
      <c r="HC31" s="31">
        <f t="shared" si="18"/>
        <v>0</v>
      </c>
    </row>
    <row r="32" spans="1:214" s="8" customFormat="1" ht="17.25" customHeight="1">
      <c r="A32" s="19">
        <v>16</v>
      </c>
      <c r="B32" s="20" t="s">
        <v>200</v>
      </c>
      <c r="C32" s="40">
        <f t="shared" si="19"/>
        <v>1685276</v>
      </c>
      <c r="D32" s="40">
        <f t="shared" si="72"/>
        <v>2251363</v>
      </c>
      <c r="E32" s="40">
        <f t="shared" si="21"/>
        <v>1362840</v>
      </c>
      <c r="F32" s="40">
        <f t="shared" si="22"/>
        <v>1942173</v>
      </c>
      <c r="G32" s="40">
        <f t="shared" si="23"/>
        <v>65397</v>
      </c>
      <c r="H32" s="40">
        <f t="shared" si="24"/>
        <v>70632</v>
      </c>
      <c r="I32" s="40">
        <v>65397</v>
      </c>
      <c r="J32" s="40">
        <v>70632</v>
      </c>
      <c r="K32" s="40"/>
      <c r="L32" s="40"/>
      <c r="M32" s="40">
        <f t="shared" si="25"/>
        <v>0</v>
      </c>
      <c r="N32" s="40">
        <f t="shared" si="26"/>
        <v>450</v>
      </c>
      <c r="O32" s="40">
        <v>1722</v>
      </c>
      <c r="P32" s="40">
        <v>2172</v>
      </c>
      <c r="Q32" s="36">
        <v>-1722</v>
      </c>
      <c r="R32" s="36">
        <v>-1722</v>
      </c>
      <c r="S32" s="40">
        <f t="shared" si="27"/>
        <v>724174</v>
      </c>
      <c r="T32" s="40">
        <f t="shared" si="28"/>
        <v>1007924</v>
      </c>
      <c r="U32" s="40">
        <v>722049</v>
      </c>
      <c r="V32" s="40">
        <v>1026059</v>
      </c>
      <c r="W32" s="40">
        <v>17081</v>
      </c>
      <c r="X32" s="40">
        <v>14817</v>
      </c>
      <c r="Y32" s="40">
        <v>8601</v>
      </c>
      <c r="Z32" s="40">
        <v>0</v>
      </c>
      <c r="AA32" s="40">
        <v>0</v>
      </c>
      <c r="AB32" s="40">
        <v>0</v>
      </c>
      <c r="AC32" s="40">
        <v>70856</v>
      </c>
      <c r="AD32" s="40">
        <v>45059</v>
      </c>
      <c r="AE32" s="36">
        <v>-94413</v>
      </c>
      <c r="AF32" s="36">
        <v>-78011</v>
      </c>
      <c r="AG32" s="40">
        <f t="shared" si="30"/>
        <v>499573</v>
      </c>
      <c r="AH32" s="40">
        <f t="shared" si="31"/>
        <v>794183</v>
      </c>
      <c r="AI32" s="40">
        <v>509145</v>
      </c>
      <c r="AJ32" s="40">
        <v>803472</v>
      </c>
      <c r="AK32" s="36">
        <v>-9572</v>
      </c>
      <c r="AL32" s="36">
        <v>-9289</v>
      </c>
      <c r="AM32" s="40">
        <f t="shared" si="32"/>
        <v>73696</v>
      </c>
      <c r="AN32" s="40">
        <f t="shared" si="33"/>
        <v>68984</v>
      </c>
      <c r="AO32" s="40">
        <v>240</v>
      </c>
      <c r="AP32" s="40">
        <v>62</v>
      </c>
      <c r="AQ32" s="40">
        <v>58951</v>
      </c>
      <c r="AR32" s="40">
        <v>60648</v>
      </c>
      <c r="AS32" s="40">
        <v>13065</v>
      </c>
      <c r="AT32" s="40">
        <v>6860</v>
      </c>
      <c r="AU32" s="40">
        <v>1440</v>
      </c>
      <c r="AV32" s="40">
        <v>1414</v>
      </c>
      <c r="AW32" s="40">
        <f t="shared" si="73"/>
        <v>322436</v>
      </c>
      <c r="AX32" s="40">
        <f t="shared" si="73"/>
        <v>309190</v>
      </c>
      <c r="AY32" s="40">
        <f t="shared" si="35"/>
        <v>0</v>
      </c>
      <c r="AZ32" s="40">
        <f t="shared" si="36"/>
        <v>0</v>
      </c>
      <c r="BA32" s="40"/>
      <c r="BB32" s="40"/>
      <c r="BC32" s="40"/>
      <c r="BD32" s="40"/>
      <c r="BE32" s="40"/>
      <c r="BF32" s="40"/>
      <c r="BG32" s="40"/>
      <c r="BH32" s="40"/>
      <c r="BI32" s="36"/>
      <c r="BJ32" s="36"/>
      <c r="BK32" s="41">
        <f t="shared" si="69"/>
        <v>143934</v>
      </c>
      <c r="BL32" s="40">
        <f t="shared" si="71"/>
        <v>134271</v>
      </c>
      <c r="BM32" s="40">
        <f t="shared" si="38"/>
        <v>61286</v>
      </c>
      <c r="BN32" s="40">
        <f t="shared" si="39"/>
        <v>69408</v>
      </c>
      <c r="BO32" s="40">
        <v>149674</v>
      </c>
      <c r="BP32" s="40">
        <v>155829</v>
      </c>
      <c r="BQ32" s="36">
        <v>-88388</v>
      </c>
      <c r="BR32" s="36">
        <v>-86421</v>
      </c>
      <c r="BS32" s="40">
        <f t="shared" si="40"/>
        <v>0</v>
      </c>
      <c r="BT32" s="40">
        <f t="shared" si="41"/>
        <v>0</v>
      </c>
      <c r="BU32" s="40"/>
      <c r="BV32" s="40"/>
      <c r="BW32" s="40"/>
      <c r="BX32" s="40"/>
      <c r="BY32" s="40">
        <f t="shared" si="42"/>
        <v>3291</v>
      </c>
      <c r="BZ32" s="40">
        <f t="shared" si="43"/>
        <v>8398</v>
      </c>
      <c r="CA32" s="40">
        <v>6245</v>
      </c>
      <c r="CB32" s="40">
        <v>11662</v>
      </c>
      <c r="CC32" s="37">
        <v>-2954</v>
      </c>
      <c r="CD32" s="37">
        <v>-3264</v>
      </c>
      <c r="CE32" s="40">
        <v>79357</v>
      </c>
      <c r="CF32" s="40">
        <v>56465</v>
      </c>
      <c r="CG32" s="40">
        <f t="shared" si="45"/>
        <v>0</v>
      </c>
      <c r="CH32" s="40">
        <f t="shared" si="46"/>
        <v>0</v>
      </c>
      <c r="CI32" s="40"/>
      <c r="CJ32" s="40"/>
      <c r="CK32" s="36"/>
      <c r="CL32" s="36"/>
      <c r="CM32" s="40">
        <f t="shared" si="47"/>
        <v>173014</v>
      </c>
      <c r="CN32" s="40">
        <f t="shared" si="48"/>
        <v>172170</v>
      </c>
      <c r="CO32" s="40">
        <v>82890</v>
      </c>
      <c r="CP32" s="40">
        <v>82890</v>
      </c>
      <c r="CQ32" s="40">
        <v>76401</v>
      </c>
      <c r="CR32" s="40">
        <v>76401</v>
      </c>
      <c r="CS32" s="40">
        <v>15439</v>
      </c>
      <c r="CT32" s="40">
        <v>14595</v>
      </c>
      <c r="CU32" s="36">
        <v>-1716</v>
      </c>
      <c r="CV32" s="36">
        <v>-1716</v>
      </c>
      <c r="CW32" s="40">
        <f t="shared" si="50"/>
        <v>5488</v>
      </c>
      <c r="CX32" s="40">
        <f t="shared" si="51"/>
        <v>2749</v>
      </c>
      <c r="CY32" s="40">
        <v>5455</v>
      </c>
      <c r="CZ32" s="40">
        <v>2716</v>
      </c>
      <c r="DA32" s="40"/>
      <c r="DB32" s="40"/>
      <c r="DC32" s="40">
        <v>33</v>
      </c>
      <c r="DD32" s="40">
        <v>33</v>
      </c>
      <c r="DE32" s="40">
        <f t="shared" si="53"/>
        <v>1685276</v>
      </c>
      <c r="DF32" s="40">
        <f t="shared" si="54"/>
        <v>2251363</v>
      </c>
      <c r="DG32" s="40">
        <f t="shared" si="55"/>
        <v>1168968</v>
      </c>
      <c r="DH32" s="40">
        <f t="shared" si="56"/>
        <v>1782074</v>
      </c>
      <c r="DI32" s="40">
        <f t="shared" si="74"/>
        <v>1153200</v>
      </c>
      <c r="DJ32" s="40">
        <f t="shared" si="75"/>
        <v>1771311</v>
      </c>
      <c r="DK32" s="40">
        <v>117150</v>
      </c>
      <c r="DL32" s="40">
        <v>148765</v>
      </c>
      <c r="DM32" s="40">
        <v>1011111</v>
      </c>
      <c r="DN32" s="40">
        <v>1591500</v>
      </c>
      <c r="DO32" s="40">
        <v>14176</v>
      </c>
      <c r="DP32" s="40">
        <v>15926</v>
      </c>
      <c r="DQ32" s="40">
        <v>286</v>
      </c>
      <c r="DR32" s="40">
        <v>6838</v>
      </c>
      <c r="DS32" s="40">
        <v>1345</v>
      </c>
      <c r="DT32" s="40">
        <v>172</v>
      </c>
      <c r="DU32" s="40">
        <v>6297</v>
      </c>
      <c r="DV32" s="40">
        <v>3789</v>
      </c>
      <c r="DW32" s="40"/>
      <c r="DX32" s="40"/>
      <c r="DY32" s="40"/>
      <c r="DZ32" s="40"/>
      <c r="EA32" s="40">
        <v>2835</v>
      </c>
      <c r="EB32" s="40">
        <v>4321</v>
      </c>
      <c r="EC32" s="40"/>
      <c r="ED32" s="40"/>
      <c r="EE32" s="40"/>
      <c r="EF32" s="40"/>
      <c r="EG32" s="36">
        <f t="shared" si="70"/>
        <v>15768</v>
      </c>
      <c r="EH32" s="36">
        <f t="shared" si="65"/>
        <v>10763</v>
      </c>
      <c r="EI32" s="40"/>
      <c r="EJ32" s="40"/>
      <c r="EK32" s="40"/>
      <c r="EL32" s="40"/>
      <c r="EM32" s="40"/>
      <c r="EN32" s="40"/>
      <c r="EO32" s="40">
        <v>15768</v>
      </c>
      <c r="EP32" s="40">
        <v>10763</v>
      </c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>
        <f t="shared" si="59"/>
        <v>516308</v>
      </c>
      <c r="FB32" s="40">
        <f t="shared" si="60"/>
        <v>469289</v>
      </c>
      <c r="FC32" s="40">
        <f t="shared" si="76"/>
        <v>516308</v>
      </c>
      <c r="FD32" s="40">
        <f t="shared" si="77"/>
        <v>469289</v>
      </c>
      <c r="FE32" s="40">
        <v>480651</v>
      </c>
      <c r="FF32" s="40">
        <v>472050</v>
      </c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>
        <v>10022</v>
      </c>
      <c r="FR32" s="40">
        <v>6139</v>
      </c>
      <c r="FS32" s="40"/>
      <c r="FT32" s="40">
        <v>3883</v>
      </c>
      <c r="FU32" s="40"/>
      <c r="FV32" s="40"/>
      <c r="FW32" s="40">
        <v>389</v>
      </c>
      <c r="FX32" s="40">
        <v>-21384</v>
      </c>
      <c r="FY32" s="40">
        <v>23707</v>
      </c>
      <c r="FZ32" s="40">
        <v>8601</v>
      </c>
      <c r="GA32" s="40">
        <v>1539</v>
      </c>
      <c r="GB32" s="40"/>
      <c r="GC32" s="40">
        <f t="shared" si="62"/>
        <v>0</v>
      </c>
      <c r="GD32" s="40">
        <f t="shared" si="63"/>
        <v>0</v>
      </c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>
        <v>363</v>
      </c>
      <c r="GP32" s="40">
        <v>813</v>
      </c>
      <c r="GQ32" s="40"/>
      <c r="GR32" s="40"/>
      <c r="GS32" s="45">
        <f>831.32+104649.66</f>
        <v>105480.98000000001</v>
      </c>
      <c r="GT32" s="40">
        <f>265+339877</f>
        <v>340142</v>
      </c>
      <c r="GU32" s="40"/>
      <c r="GV32" s="40"/>
      <c r="GW32" s="60"/>
      <c r="GX32" s="60"/>
      <c r="GY32" s="60"/>
      <c r="GZ32" s="60"/>
      <c r="HA32" s="60"/>
      <c r="HB32" s="31">
        <f t="shared" si="17"/>
        <v>0</v>
      </c>
      <c r="HC32" s="31">
        <f t="shared" si="18"/>
        <v>0</v>
      </c>
      <c r="HD32" s="7"/>
      <c r="HE32" s="7"/>
      <c r="HF32" s="7"/>
    </row>
    <row r="33" spans="1:214" s="8" customFormat="1" ht="17.25" customHeight="1">
      <c r="A33" s="19">
        <v>17</v>
      </c>
      <c r="B33" s="20" t="s">
        <v>201</v>
      </c>
      <c r="C33" s="40">
        <f t="shared" si="19"/>
        <v>9980315</v>
      </c>
      <c r="D33" s="40">
        <f t="shared" si="72"/>
        <v>8041761</v>
      </c>
      <c r="E33" s="40">
        <f t="shared" si="21"/>
        <v>1816011</v>
      </c>
      <c r="F33" s="40">
        <f t="shared" si="22"/>
        <v>1592793</v>
      </c>
      <c r="G33" s="40">
        <f t="shared" si="23"/>
        <v>1708204</v>
      </c>
      <c r="H33" s="40">
        <f t="shared" si="24"/>
        <v>1555617</v>
      </c>
      <c r="I33" s="40">
        <v>405664</v>
      </c>
      <c r="J33" s="40">
        <v>388704</v>
      </c>
      <c r="K33" s="40">
        <v>1302540</v>
      </c>
      <c r="L33" s="40">
        <v>1166913</v>
      </c>
      <c r="M33" s="40">
        <f t="shared" si="25"/>
        <v>0</v>
      </c>
      <c r="N33" s="40">
        <f t="shared" si="26"/>
        <v>0</v>
      </c>
      <c r="O33" s="40"/>
      <c r="P33" s="40"/>
      <c r="Q33" s="40"/>
      <c r="R33" s="40"/>
      <c r="S33" s="40">
        <f t="shared" si="27"/>
        <v>106813</v>
      </c>
      <c r="T33" s="40">
        <f t="shared" si="28"/>
        <v>36400</v>
      </c>
      <c r="U33" s="40">
        <v>77974</v>
      </c>
      <c r="V33" s="40">
        <v>15838</v>
      </c>
      <c r="W33" s="40">
        <v>687</v>
      </c>
      <c r="X33" s="40">
        <v>747</v>
      </c>
      <c r="Y33" s="40"/>
      <c r="Z33" s="40"/>
      <c r="AA33" s="40"/>
      <c r="AB33" s="40"/>
      <c r="AC33" s="40">
        <v>28152</v>
      </c>
      <c r="AD33" s="40">
        <v>19815</v>
      </c>
      <c r="AE33" s="36"/>
      <c r="AF33" s="36"/>
      <c r="AG33" s="40">
        <f t="shared" si="30"/>
        <v>0</v>
      </c>
      <c r="AH33" s="40">
        <f t="shared" si="31"/>
        <v>0</v>
      </c>
      <c r="AI33" s="40"/>
      <c r="AJ33" s="40"/>
      <c r="AK33" s="36"/>
      <c r="AL33" s="36"/>
      <c r="AM33" s="40">
        <f t="shared" si="32"/>
        <v>994</v>
      </c>
      <c r="AN33" s="40">
        <f t="shared" si="33"/>
        <v>776</v>
      </c>
      <c r="AO33" s="40">
        <v>539</v>
      </c>
      <c r="AP33" s="40">
        <v>384</v>
      </c>
      <c r="AQ33" s="40">
        <v>166</v>
      </c>
      <c r="AR33" s="40"/>
      <c r="AS33" s="40"/>
      <c r="AT33" s="40">
        <v>11</v>
      </c>
      <c r="AU33" s="40">
        <v>289</v>
      </c>
      <c r="AV33" s="40">
        <v>381</v>
      </c>
      <c r="AW33" s="40">
        <f t="shared" si="73"/>
        <v>8164304</v>
      </c>
      <c r="AX33" s="40">
        <f t="shared" si="73"/>
        <v>6448968</v>
      </c>
      <c r="AY33" s="40">
        <f t="shared" si="35"/>
        <v>3919129</v>
      </c>
      <c r="AZ33" s="40">
        <f t="shared" si="36"/>
        <v>4201224</v>
      </c>
      <c r="BA33" s="40">
        <v>4052882</v>
      </c>
      <c r="BB33" s="40">
        <v>4408872</v>
      </c>
      <c r="BC33" s="40"/>
      <c r="BD33" s="40"/>
      <c r="BE33" s="40"/>
      <c r="BF33" s="40"/>
      <c r="BG33" s="40"/>
      <c r="BH33" s="40"/>
      <c r="BI33" s="36">
        <v>-133753</v>
      </c>
      <c r="BJ33" s="36">
        <v>-207648</v>
      </c>
      <c r="BK33" s="41">
        <f t="shared" si="69"/>
        <v>112919</v>
      </c>
      <c r="BL33" s="40">
        <f t="shared" si="71"/>
        <v>119118</v>
      </c>
      <c r="BM33" s="40">
        <f t="shared" si="38"/>
        <v>51445</v>
      </c>
      <c r="BN33" s="40">
        <f t="shared" si="39"/>
        <v>57965</v>
      </c>
      <c r="BO33" s="40">
        <v>68929</v>
      </c>
      <c r="BP33" s="40">
        <v>69366</v>
      </c>
      <c r="BQ33" s="36">
        <v>-17484</v>
      </c>
      <c r="BR33" s="36">
        <v>-11401</v>
      </c>
      <c r="BS33" s="40">
        <f t="shared" si="40"/>
        <v>0</v>
      </c>
      <c r="BT33" s="40">
        <f t="shared" si="41"/>
        <v>0</v>
      </c>
      <c r="BU33" s="40"/>
      <c r="BV33" s="40"/>
      <c r="BW33" s="40"/>
      <c r="BX33" s="40"/>
      <c r="BY33" s="40">
        <f t="shared" si="42"/>
        <v>61474</v>
      </c>
      <c r="BZ33" s="40">
        <f t="shared" si="43"/>
        <v>60987</v>
      </c>
      <c r="CA33" s="40">
        <v>62015</v>
      </c>
      <c r="CB33" s="40">
        <v>61318</v>
      </c>
      <c r="CC33" s="37">
        <v>-541</v>
      </c>
      <c r="CD33" s="37">
        <v>-331</v>
      </c>
      <c r="CE33" s="40"/>
      <c r="CF33" s="40">
        <v>166</v>
      </c>
      <c r="CG33" s="40">
        <f t="shared" si="45"/>
        <v>0</v>
      </c>
      <c r="CH33" s="40">
        <f t="shared" si="46"/>
        <v>0</v>
      </c>
      <c r="CI33" s="40"/>
      <c r="CJ33" s="40"/>
      <c r="CK33" s="36"/>
      <c r="CL33" s="36"/>
      <c r="CM33" s="40">
        <f t="shared" si="47"/>
        <v>4128025</v>
      </c>
      <c r="CN33" s="40">
        <f t="shared" si="48"/>
        <v>2126323</v>
      </c>
      <c r="CO33" s="40">
        <v>2074526</v>
      </c>
      <c r="CP33" s="40"/>
      <c r="CQ33" s="40">
        <v>1185473</v>
      </c>
      <c r="CR33" s="40">
        <v>1154423</v>
      </c>
      <c r="CS33" s="40">
        <v>961742</v>
      </c>
      <c r="CT33" s="40">
        <v>978348</v>
      </c>
      <c r="CU33" s="36">
        <v>-93716</v>
      </c>
      <c r="CV33" s="36">
        <v>-6448</v>
      </c>
      <c r="CW33" s="40">
        <f t="shared" si="50"/>
        <v>4231</v>
      </c>
      <c r="CX33" s="40">
        <f t="shared" si="51"/>
        <v>2303</v>
      </c>
      <c r="CY33" s="40">
        <v>393</v>
      </c>
      <c r="CZ33" s="40">
        <v>2303</v>
      </c>
      <c r="DA33" s="40"/>
      <c r="DB33" s="40"/>
      <c r="DC33" s="40">
        <v>3838</v>
      </c>
      <c r="DD33" s="40"/>
      <c r="DE33" s="40">
        <f t="shared" si="53"/>
        <v>9980315</v>
      </c>
      <c r="DF33" s="40">
        <f t="shared" si="54"/>
        <v>8041761</v>
      </c>
      <c r="DG33" s="40">
        <f t="shared" si="55"/>
        <v>3976269</v>
      </c>
      <c r="DH33" s="40">
        <f t="shared" si="56"/>
        <v>4370669</v>
      </c>
      <c r="DI33" s="40">
        <f t="shared" si="74"/>
        <v>172076</v>
      </c>
      <c r="DJ33" s="40">
        <f t="shared" si="75"/>
        <v>177225</v>
      </c>
      <c r="DK33" s="40"/>
      <c r="DL33" s="40"/>
      <c r="DM33" s="40">
        <f>514</f>
        <v>514</v>
      </c>
      <c r="DN33" s="40">
        <v>5762</v>
      </c>
      <c r="DO33" s="40"/>
      <c r="DP33" s="40"/>
      <c r="DQ33" s="40">
        <v>24753</v>
      </c>
      <c r="DR33" s="40">
        <v>38982</v>
      </c>
      <c r="DS33" s="40">
        <v>18533</v>
      </c>
      <c r="DT33" s="40">
        <v>19495</v>
      </c>
      <c r="DU33" s="40">
        <v>25452</v>
      </c>
      <c r="DV33" s="40">
        <v>14896</v>
      </c>
      <c r="DW33" s="40"/>
      <c r="DX33" s="40"/>
      <c r="DY33" s="40"/>
      <c r="DZ33" s="40"/>
      <c r="EA33" s="40">
        <v>100749</v>
      </c>
      <c r="EB33" s="40">
        <v>93693</v>
      </c>
      <c r="EC33" s="40"/>
      <c r="ED33" s="40"/>
      <c r="EE33" s="40">
        <v>2075</v>
      </c>
      <c r="EF33" s="40">
        <v>4397</v>
      </c>
      <c r="EG33" s="36">
        <f t="shared" si="70"/>
        <v>3804193</v>
      </c>
      <c r="EH33" s="36">
        <f t="shared" si="65"/>
        <v>4193444</v>
      </c>
      <c r="EI33" s="40"/>
      <c r="EJ33" s="40"/>
      <c r="EK33" s="40"/>
      <c r="EL33" s="40"/>
      <c r="EM33" s="40">
        <f>1238+370953</f>
        <v>372191</v>
      </c>
      <c r="EN33" s="40">
        <f>1238+503322</f>
        <v>504560</v>
      </c>
      <c r="EO33" s="40">
        <v>3432002</v>
      </c>
      <c r="EP33" s="40">
        <v>3688884</v>
      </c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>
        <f t="shared" si="59"/>
        <v>6004046</v>
      </c>
      <c r="FB33" s="40">
        <f t="shared" si="60"/>
        <v>3671092</v>
      </c>
      <c r="FC33" s="40">
        <f t="shared" si="76"/>
        <v>6004046</v>
      </c>
      <c r="FD33" s="40">
        <f t="shared" si="77"/>
        <v>3671092</v>
      </c>
      <c r="FE33" s="40">
        <v>5048572</v>
      </c>
      <c r="FF33" s="40">
        <v>2974046</v>
      </c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>
        <v>182472</v>
      </c>
      <c r="FR33" s="40">
        <v>64221</v>
      </c>
      <c r="FS33" s="40"/>
      <c r="FT33" s="40">
        <v>118355</v>
      </c>
      <c r="FU33" s="40"/>
      <c r="FV33" s="40"/>
      <c r="FW33" s="40">
        <v>773002</v>
      </c>
      <c r="FX33" s="40">
        <v>514470</v>
      </c>
      <c r="FY33" s="40"/>
      <c r="FZ33" s="40"/>
      <c r="GA33" s="40"/>
      <c r="GB33" s="40"/>
      <c r="GC33" s="40">
        <f t="shared" si="62"/>
        <v>0</v>
      </c>
      <c r="GD33" s="40">
        <f t="shared" si="63"/>
        <v>0</v>
      </c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60"/>
      <c r="GX33" s="60"/>
      <c r="GY33" s="60"/>
      <c r="GZ33" s="60"/>
      <c r="HA33" s="60"/>
      <c r="HB33" s="31">
        <f t="shared" si="17"/>
        <v>0</v>
      </c>
      <c r="HC33" s="31">
        <f t="shared" si="18"/>
        <v>0</v>
      </c>
      <c r="HD33" s="7"/>
      <c r="HE33" s="7"/>
      <c r="HF33" s="7"/>
    </row>
    <row r="34" spans="1:211" s="5" customFormat="1" ht="17.25" customHeight="1">
      <c r="A34" s="21"/>
      <c r="B34" s="32" t="s">
        <v>245</v>
      </c>
      <c r="C34" s="37">
        <f t="shared" si="19"/>
        <v>17605547.842205003</v>
      </c>
      <c r="D34" s="37">
        <f t="shared" si="72"/>
        <v>17910617.114752002</v>
      </c>
      <c r="E34" s="37">
        <f t="shared" si="21"/>
        <v>10966885.034384001</v>
      </c>
      <c r="F34" s="37">
        <f t="shared" si="22"/>
        <v>12014900.396414</v>
      </c>
      <c r="G34" s="37">
        <f t="shared" si="23"/>
        <v>1937989.06461</v>
      </c>
      <c r="H34" s="37">
        <f t="shared" si="24"/>
        <v>1912102.069131</v>
      </c>
      <c r="I34" s="37">
        <f>SUM(I35:I70)</f>
        <v>1178116.06461</v>
      </c>
      <c r="J34" s="37">
        <f>SUM(J35:J70)</f>
        <v>1427266.069131</v>
      </c>
      <c r="K34" s="37">
        <f>SUM(K35:K70)</f>
        <v>759873</v>
      </c>
      <c r="L34" s="37">
        <f>SUM(L35:L70)</f>
        <v>484836</v>
      </c>
      <c r="M34" s="37">
        <f>SUM(O34+Q34)</f>
        <v>427111</v>
      </c>
      <c r="N34" s="37">
        <f aca="true" t="shared" si="78" ref="N34:N50">SUM(P34+R34)</f>
        <v>595840</v>
      </c>
      <c r="O34" s="37">
        <f>SUM(O35:O70)</f>
        <v>427111</v>
      </c>
      <c r="P34" s="37">
        <f>SUM(P35:P70)</f>
        <v>595840</v>
      </c>
      <c r="Q34" s="37">
        <f>SUM(Q35:Q70)</f>
        <v>0</v>
      </c>
      <c r="R34" s="37">
        <f>SUM(R35:R70)</f>
        <v>0</v>
      </c>
      <c r="S34" s="37">
        <f aca="true" t="shared" si="79" ref="S34:S50">SUM(U34+W34+Y34+AA34+AC34+AE34)</f>
        <v>2469699.822163</v>
      </c>
      <c r="T34" s="37">
        <f aca="true" t="shared" si="80" ref="T34:T50">SUM(V34+X34+Z34+AB34+AD34+AF34)</f>
        <v>1938429.231831</v>
      </c>
      <c r="U34" s="37">
        <f aca="true" t="shared" si="81" ref="U34:AF34">SUM(U35:U70)</f>
        <v>1406044.7076629999</v>
      </c>
      <c r="V34" s="37">
        <f t="shared" si="81"/>
        <v>986886.373632</v>
      </c>
      <c r="W34" s="37">
        <f t="shared" si="81"/>
        <v>456765.351151</v>
      </c>
      <c r="X34" s="37">
        <f t="shared" si="81"/>
        <v>478378.344409</v>
      </c>
      <c r="Y34" s="37">
        <f t="shared" si="81"/>
        <v>440.238</v>
      </c>
      <c r="Z34" s="37">
        <f t="shared" si="81"/>
        <v>684</v>
      </c>
      <c r="AA34" s="37">
        <f t="shared" si="81"/>
        <v>66167</v>
      </c>
      <c r="AB34" s="37">
        <f t="shared" si="81"/>
        <v>80063</v>
      </c>
      <c r="AC34" s="37">
        <f t="shared" si="81"/>
        <v>581603.882461</v>
      </c>
      <c r="AD34" s="37">
        <f t="shared" si="81"/>
        <v>422281.51379</v>
      </c>
      <c r="AE34" s="36">
        <f t="shared" si="81"/>
        <v>-41321.357112</v>
      </c>
      <c r="AF34" s="36">
        <f t="shared" si="81"/>
        <v>-29864</v>
      </c>
      <c r="AG34" s="37">
        <f t="shared" si="30"/>
        <v>5621161.053404001</v>
      </c>
      <c r="AH34" s="37">
        <f t="shared" si="31"/>
        <v>7071384.042659</v>
      </c>
      <c r="AI34" s="37">
        <f>SUM(AI35:AI70)</f>
        <v>5621534.053404001</v>
      </c>
      <c r="AJ34" s="37">
        <f>SUM(AJ35:AJ70)</f>
        <v>7072003.042659</v>
      </c>
      <c r="AK34" s="36">
        <f>SUM(AK35:AK70)</f>
        <v>-373</v>
      </c>
      <c r="AL34" s="36">
        <f>SUM(AL35:AL70)</f>
        <v>-619</v>
      </c>
      <c r="AM34" s="37">
        <f t="shared" si="32"/>
        <v>510924.094207</v>
      </c>
      <c r="AN34" s="37">
        <f t="shared" si="33"/>
        <v>497145.05279299995</v>
      </c>
      <c r="AO34" s="37">
        <f aca="true" t="shared" si="82" ref="AO34:AV34">SUM(AO35:AO70)</f>
        <v>7326.905661999999</v>
      </c>
      <c r="AP34" s="37">
        <f t="shared" si="82"/>
        <v>10145.541736</v>
      </c>
      <c r="AQ34" s="37">
        <f t="shared" si="82"/>
        <v>29646.194191</v>
      </c>
      <c r="AR34" s="37">
        <f t="shared" si="82"/>
        <v>52417</v>
      </c>
      <c r="AS34" s="37">
        <f t="shared" si="82"/>
        <v>45578.79339</v>
      </c>
      <c r="AT34" s="37">
        <f t="shared" si="82"/>
        <v>16655</v>
      </c>
      <c r="AU34" s="37">
        <f t="shared" si="82"/>
        <v>428372.20096399996</v>
      </c>
      <c r="AV34" s="37">
        <f t="shared" si="82"/>
        <v>417927.51105699997</v>
      </c>
      <c r="AW34" s="37">
        <f t="shared" si="73"/>
        <v>6638662.807821</v>
      </c>
      <c r="AX34" s="37">
        <f t="shared" si="73"/>
        <v>5895716.718338001</v>
      </c>
      <c r="AY34" s="37">
        <f t="shared" si="35"/>
        <v>501555</v>
      </c>
      <c r="AZ34" s="37">
        <f t="shared" si="36"/>
        <v>422867</v>
      </c>
      <c r="BA34" s="37">
        <f aca="true" t="shared" si="83" ref="BA34:BJ34">SUM(BA35:BA70)</f>
        <v>457412</v>
      </c>
      <c r="BB34" s="37">
        <f t="shared" si="83"/>
        <v>393667</v>
      </c>
      <c r="BC34" s="37">
        <f t="shared" si="83"/>
        <v>0</v>
      </c>
      <c r="BD34" s="37">
        <f t="shared" si="83"/>
        <v>0</v>
      </c>
      <c r="BE34" s="37">
        <f t="shared" si="83"/>
        <v>0</v>
      </c>
      <c r="BF34" s="37">
        <f t="shared" si="83"/>
        <v>0</v>
      </c>
      <c r="BG34" s="37">
        <f t="shared" si="83"/>
        <v>48496</v>
      </c>
      <c r="BH34" s="37">
        <f t="shared" si="83"/>
        <v>33436</v>
      </c>
      <c r="BI34" s="36">
        <f t="shared" si="83"/>
        <v>-4353</v>
      </c>
      <c r="BJ34" s="36">
        <f t="shared" si="83"/>
        <v>-4236</v>
      </c>
      <c r="BK34" s="37">
        <f t="shared" si="69"/>
        <v>4276752.646117</v>
      </c>
      <c r="BL34" s="37">
        <f t="shared" si="71"/>
        <v>4003771.558125</v>
      </c>
      <c r="BM34" s="37">
        <f t="shared" si="38"/>
        <v>2428521.2861110005</v>
      </c>
      <c r="BN34" s="37">
        <f t="shared" si="39"/>
        <v>2316080.743865</v>
      </c>
      <c r="BO34" s="37">
        <f>SUM(BO35:BO70)</f>
        <v>4004195.3560850006</v>
      </c>
      <c r="BP34" s="37">
        <f>SUM(BP35:BP70)</f>
        <v>3748276.422211</v>
      </c>
      <c r="BQ34" s="36">
        <f>SUM(BQ35:BQ70)</f>
        <v>-1575674.069974</v>
      </c>
      <c r="BR34" s="36">
        <f>SUM(BR35:BR70)</f>
        <v>-1432195.6783460001</v>
      </c>
      <c r="BS34" s="37">
        <f t="shared" si="40"/>
        <v>1745</v>
      </c>
      <c r="BT34" s="37">
        <f t="shared" si="41"/>
        <v>1994</v>
      </c>
      <c r="BU34" s="37">
        <f>SUM(BU35:BU70)</f>
        <v>2493</v>
      </c>
      <c r="BV34" s="37">
        <f>SUM(BV35:BV70)</f>
        <v>2493</v>
      </c>
      <c r="BW34" s="37">
        <f>SUM(BW35:BW70)</f>
        <v>-748</v>
      </c>
      <c r="BX34" s="37">
        <f>SUM(BX35:BX70)</f>
        <v>-499</v>
      </c>
      <c r="BY34" s="37">
        <f t="shared" si="42"/>
        <v>124480.14968</v>
      </c>
      <c r="BZ34" s="37">
        <f t="shared" si="43"/>
        <v>90738.141022</v>
      </c>
      <c r="CA34" s="37">
        <f aca="true" t="shared" si="84" ref="CA34:CF34">SUM(CA35:CA70)</f>
        <v>127057.850454</v>
      </c>
      <c r="CB34" s="37">
        <f t="shared" si="84"/>
        <v>93347.850454</v>
      </c>
      <c r="CC34" s="37">
        <f t="shared" si="84"/>
        <v>-2577.700774</v>
      </c>
      <c r="CD34" s="37">
        <f t="shared" si="84"/>
        <v>-2609.709432</v>
      </c>
      <c r="CE34" s="37">
        <f t="shared" si="84"/>
        <v>1722006.210326</v>
      </c>
      <c r="CF34" s="37">
        <f t="shared" si="84"/>
        <v>1594958.673238</v>
      </c>
      <c r="CG34" s="37">
        <f t="shared" si="45"/>
        <v>1202501</v>
      </c>
      <c r="CH34" s="37">
        <f t="shared" si="46"/>
        <v>789903</v>
      </c>
      <c r="CI34" s="37">
        <f>SUM(CI35:CI70)</f>
        <v>1452095</v>
      </c>
      <c r="CJ34" s="37">
        <f>SUM(CJ35:CJ70)</f>
        <v>1033994</v>
      </c>
      <c r="CK34" s="36">
        <f>SUM(CK35:CK70)</f>
        <v>-249594</v>
      </c>
      <c r="CL34" s="36">
        <f>SUM(CL35:CL70)</f>
        <v>-244091</v>
      </c>
      <c r="CM34" s="37">
        <f t="shared" si="47"/>
        <v>236528</v>
      </c>
      <c r="CN34" s="37">
        <f t="shared" si="48"/>
        <v>267952</v>
      </c>
      <c r="CO34" s="37">
        <f aca="true" t="shared" si="85" ref="CO34:CV34">SUM(CO35:CO70)</f>
        <v>3436</v>
      </c>
      <c r="CP34" s="37">
        <f t="shared" si="85"/>
        <v>3436</v>
      </c>
      <c r="CQ34" s="37">
        <f t="shared" si="85"/>
        <v>170117</v>
      </c>
      <c r="CR34" s="37">
        <f t="shared" si="85"/>
        <v>188844</v>
      </c>
      <c r="CS34" s="37">
        <f t="shared" si="85"/>
        <v>67585</v>
      </c>
      <c r="CT34" s="37">
        <f t="shared" si="85"/>
        <v>79090</v>
      </c>
      <c r="CU34" s="36">
        <f t="shared" si="85"/>
        <v>-4610</v>
      </c>
      <c r="CV34" s="36">
        <f t="shared" si="85"/>
        <v>-3418</v>
      </c>
      <c r="CW34" s="37">
        <f t="shared" si="50"/>
        <v>421326.16170399997</v>
      </c>
      <c r="CX34" s="37">
        <f t="shared" si="51"/>
        <v>411223.160213</v>
      </c>
      <c r="CY34" s="37">
        <f aca="true" t="shared" si="86" ref="CY34:DD34">SUM(CY35:CY70)</f>
        <v>77620.161704</v>
      </c>
      <c r="CZ34" s="37">
        <f t="shared" si="86"/>
        <v>100584.16021300001</v>
      </c>
      <c r="DA34" s="37">
        <f t="shared" si="86"/>
        <v>26038</v>
      </c>
      <c r="DB34" s="37">
        <f t="shared" si="86"/>
        <v>22462</v>
      </c>
      <c r="DC34" s="37">
        <f t="shared" si="86"/>
        <v>317668</v>
      </c>
      <c r="DD34" s="37">
        <f t="shared" si="86"/>
        <v>288177</v>
      </c>
      <c r="DE34" s="37">
        <f t="shared" si="53"/>
        <v>17605547.604204997</v>
      </c>
      <c r="DF34" s="37">
        <f t="shared" si="54"/>
        <v>17910616.990652002</v>
      </c>
      <c r="DG34" s="37">
        <f t="shared" si="55"/>
        <v>9518575.494071</v>
      </c>
      <c r="DH34" s="37">
        <f t="shared" si="56"/>
        <v>10687792.301365</v>
      </c>
      <c r="DI34" s="37">
        <f t="shared" si="74"/>
        <v>6204845.875286</v>
      </c>
      <c r="DJ34" s="37">
        <f t="shared" si="75"/>
        <v>6606395.787843</v>
      </c>
      <c r="DK34" s="37">
        <f aca="true" t="shared" si="87" ref="DK34:EF34">SUM(DK35:DK70)</f>
        <v>288384.620835</v>
      </c>
      <c r="DL34" s="37">
        <f t="shared" si="87"/>
        <v>289556.219271</v>
      </c>
      <c r="DM34" s="37">
        <f t="shared" si="87"/>
        <v>882888.190351</v>
      </c>
      <c r="DN34" s="37">
        <f t="shared" si="87"/>
        <v>913246.926976</v>
      </c>
      <c r="DO34" s="37">
        <f t="shared" si="87"/>
        <v>1506273.8917699999</v>
      </c>
      <c r="DP34" s="37">
        <f t="shared" si="87"/>
        <v>2250031.578837</v>
      </c>
      <c r="DQ34" s="37">
        <f t="shared" si="87"/>
        <v>255106.24073800002</v>
      </c>
      <c r="DR34" s="37">
        <f t="shared" si="87"/>
        <v>250710.566449</v>
      </c>
      <c r="DS34" s="37">
        <f t="shared" si="87"/>
        <v>643852.3818880001</v>
      </c>
      <c r="DT34" s="37">
        <f t="shared" si="87"/>
        <v>717321.658317</v>
      </c>
      <c r="DU34" s="37">
        <f t="shared" si="87"/>
        <v>602135</v>
      </c>
      <c r="DV34" s="37">
        <f t="shared" si="87"/>
        <v>474569.170853</v>
      </c>
      <c r="DW34" s="37">
        <f t="shared" si="87"/>
        <v>0</v>
      </c>
      <c r="DX34" s="37">
        <f t="shared" si="87"/>
        <v>321</v>
      </c>
      <c r="DY34" s="37">
        <f t="shared" si="87"/>
        <v>7470</v>
      </c>
      <c r="DZ34" s="37">
        <f t="shared" si="87"/>
        <v>7001</v>
      </c>
      <c r="EA34" s="37">
        <f t="shared" si="87"/>
        <v>1891055.054055</v>
      </c>
      <c r="EB34" s="37">
        <f t="shared" si="87"/>
        <v>1556400.762912</v>
      </c>
      <c r="EC34" s="37">
        <f t="shared" si="87"/>
        <v>2047</v>
      </c>
      <c r="ED34" s="37">
        <f t="shared" si="87"/>
        <v>1898</v>
      </c>
      <c r="EE34" s="37">
        <f t="shared" si="87"/>
        <v>125633.495649</v>
      </c>
      <c r="EF34" s="37">
        <f t="shared" si="87"/>
        <v>145338.904228</v>
      </c>
      <c r="EG34" s="37">
        <f>EI34+EK34+EM34+EO34+EQ34+ES34+EU34+EW34+EY34</f>
        <v>3313729.618785</v>
      </c>
      <c r="EH34" s="37">
        <f>EJ34+EL34+EN34+EP34+ER34+ET34+EV34+EX34+EZ34</f>
        <v>4081396.513522</v>
      </c>
      <c r="EI34" s="37">
        <f aca="true" t="shared" si="88" ref="EI34:EZ34">SUM(EI35:EI70)</f>
        <v>966</v>
      </c>
      <c r="EJ34" s="37">
        <f t="shared" si="88"/>
        <v>631</v>
      </c>
      <c r="EK34" s="37">
        <f t="shared" si="88"/>
        <v>0</v>
      </c>
      <c r="EL34" s="37">
        <f t="shared" si="88"/>
        <v>0</v>
      </c>
      <c r="EM34" s="37">
        <f t="shared" si="88"/>
        <v>1959647.45</v>
      </c>
      <c r="EN34" s="37">
        <f t="shared" si="88"/>
        <v>1885859.4840000002</v>
      </c>
      <c r="EO34" s="37">
        <f t="shared" si="88"/>
        <v>801406.462601</v>
      </c>
      <c r="EP34" s="37">
        <f t="shared" si="88"/>
        <v>824685.741381</v>
      </c>
      <c r="EQ34" s="37">
        <f t="shared" si="88"/>
        <v>0</v>
      </c>
      <c r="ER34" s="37">
        <f t="shared" si="88"/>
        <v>0</v>
      </c>
      <c r="ES34" s="37">
        <f t="shared" si="88"/>
        <v>0.257141</v>
      </c>
      <c r="ET34" s="37">
        <f t="shared" si="88"/>
        <v>900.288141</v>
      </c>
      <c r="EU34" s="37">
        <f t="shared" si="88"/>
        <v>773</v>
      </c>
      <c r="EV34" s="37">
        <f t="shared" si="88"/>
        <v>0</v>
      </c>
      <c r="EW34" s="37">
        <f t="shared" si="88"/>
        <v>545088.652319</v>
      </c>
      <c r="EX34" s="37">
        <f t="shared" si="88"/>
        <v>1367748</v>
      </c>
      <c r="EY34" s="37">
        <f t="shared" si="88"/>
        <v>5847.796724</v>
      </c>
      <c r="EZ34" s="37">
        <f t="shared" si="88"/>
        <v>1572</v>
      </c>
      <c r="FA34" s="37">
        <f t="shared" si="59"/>
        <v>8086972.110134</v>
      </c>
      <c r="FB34" s="37">
        <f t="shared" si="60"/>
        <v>7222824.689287001</v>
      </c>
      <c r="FC34" s="37">
        <f t="shared" si="76"/>
        <v>6051694.803742</v>
      </c>
      <c r="FD34" s="37">
        <f t="shared" si="77"/>
        <v>5813196.272539001</v>
      </c>
      <c r="FE34" s="37">
        <f aca="true" t="shared" si="89" ref="FE34:GB34">SUM(FE35:FE70)</f>
        <v>3989499.924985</v>
      </c>
      <c r="FF34" s="37">
        <f t="shared" si="89"/>
        <v>3897183.179807</v>
      </c>
      <c r="FG34" s="37">
        <f t="shared" si="89"/>
        <v>738</v>
      </c>
      <c r="FH34" s="37">
        <f t="shared" si="89"/>
        <v>738</v>
      </c>
      <c r="FI34" s="37">
        <f t="shared" si="89"/>
        <v>225149</v>
      </c>
      <c r="FJ34" s="37">
        <f t="shared" si="89"/>
        <v>269574.02784</v>
      </c>
      <c r="FK34" s="37">
        <f t="shared" si="89"/>
        <v>12309</v>
      </c>
      <c r="FL34" s="37">
        <f t="shared" si="89"/>
        <v>8627</v>
      </c>
      <c r="FM34" s="37">
        <f t="shared" si="89"/>
        <v>0</v>
      </c>
      <c r="FN34" s="37">
        <f t="shared" si="89"/>
        <v>0</v>
      </c>
      <c r="FO34" s="37">
        <f t="shared" si="89"/>
        <v>6430.108440999999</v>
      </c>
      <c r="FP34" s="37">
        <f t="shared" si="89"/>
        <v>4613.386132</v>
      </c>
      <c r="FQ34" s="37">
        <f t="shared" si="89"/>
        <v>169377.807181</v>
      </c>
      <c r="FR34" s="37">
        <f t="shared" si="89"/>
        <v>122596.239313</v>
      </c>
      <c r="FS34" s="37">
        <f t="shared" si="89"/>
        <v>98728.87547599999</v>
      </c>
      <c r="FT34" s="37">
        <f t="shared" si="89"/>
        <v>120549.56426900001</v>
      </c>
      <c r="FU34" s="37">
        <f t="shared" si="89"/>
        <v>0</v>
      </c>
      <c r="FV34" s="37">
        <f t="shared" si="89"/>
        <v>-494</v>
      </c>
      <c r="FW34" s="37">
        <f t="shared" si="89"/>
        <v>372938.499462</v>
      </c>
      <c r="FX34" s="37">
        <f t="shared" si="89"/>
        <v>304183.773408</v>
      </c>
      <c r="FY34" s="37">
        <f t="shared" si="89"/>
        <v>1176523.588197</v>
      </c>
      <c r="FZ34" s="37">
        <f t="shared" si="89"/>
        <v>1085625.10177</v>
      </c>
      <c r="GA34" s="37">
        <f t="shared" si="89"/>
        <v>0</v>
      </c>
      <c r="GB34" s="37">
        <f t="shared" si="89"/>
        <v>0</v>
      </c>
      <c r="GC34" s="37">
        <f t="shared" si="62"/>
        <v>2035277.306392</v>
      </c>
      <c r="GD34" s="37">
        <f t="shared" si="63"/>
        <v>1409628.4167479998</v>
      </c>
      <c r="GE34" s="37">
        <f aca="true" t="shared" si="90" ref="GE34:GJ34">SUM(GE35:GE70)</f>
        <v>862</v>
      </c>
      <c r="GF34" s="37">
        <f t="shared" si="90"/>
        <v>1131</v>
      </c>
      <c r="GG34" s="37">
        <f t="shared" si="90"/>
        <v>625259.710342</v>
      </c>
      <c r="GH34" s="37">
        <f t="shared" si="90"/>
        <v>666459.234342</v>
      </c>
      <c r="GI34" s="37">
        <f t="shared" si="90"/>
        <v>1409155.59605</v>
      </c>
      <c r="GJ34" s="37">
        <f t="shared" si="90"/>
        <v>742038.182406</v>
      </c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66"/>
      <c r="GX34" s="66"/>
      <c r="GY34" s="66"/>
      <c r="GZ34" s="66"/>
      <c r="HA34" s="66"/>
      <c r="HB34" s="31">
        <f t="shared" si="17"/>
        <v>0.23800000548362732</v>
      </c>
      <c r="HC34" s="31">
        <f t="shared" si="18"/>
        <v>0.12409999966621399</v>
      </c>
    </row>
    <row r="35" spans="1:214" s="8" customFormat="1" ht="17.25" customHeight="1">
      <c r="A35" s="19">
        <v>18</v>
      </c>
      <c r="B35" s="20" t="s">
        <v>203</v>
      </c>
      <c r="C35" s="40">
        <f t="shared" si="19"/>
        <v>985028</v>
      </c>
      <c r="D35" s="40">
        <f t="shared" si="72"/>
        <v>910096</v>
      </c>
      <c r="E35" s="40">
        <f t="shared" si="21"/>
        <v>221590</v>
      </c>
      <c r="F35" s="40">
        <f t="shared" si="22"/>
        <v>236404</v>
      </c>
      <c r="G35" s="40">
        <f t="shared" si="23"/>
        <v>103595</v>
      </c>
      <c r="H35" s="40">
        <f t="shared" si="24"/>
        <v>97858</v>
      </c>
      <c r="I35" s="40">
        <v>103595</v>
      </c>
      <c r="J35" s="40">
        <v>97858</v>
      </c>
      <c r="K35" s="40"/>
      <c r="L35" s="40"/>
      <c r="M35" s="40">
        <f aca="true" t="shared" si="91" ref="M35:M43">SUM(O35+Q35)</f>
        <v>0</v>
      </c>
      <c r="N35" s="40">
        <f t="shared" si="78"/>
        <v>0</v>
      </c>
      <c r="O35" s="40"/>
      <c r="P35" s="40"/>
      <c r="Q35" s="40"/>
      <c r="R35" s="40"/>
      <c r="S35" s="40">
        <f t="shared" si="79"/>
        <v>106137</v>
      </c>
      <c r="T35" s="40">
        <f t="shared" si="80"/>
        <v>128872</v>
      </c>
      <c r="U35" s="40"/>
      <c r="V35" s="40"/>
      <c r="W35" s="40">
        <v>3464</v>
      </c>
      <c r="X35" s="40">
        <v>12400</v>
      </c>
      <c r="Y35" s="40"/>
      <c r="Z35" s="40"/>
      <c r="AA35" s="40">
        <v>66167</v>
      </c>
      <c r="AB35" s="40">
        <v>80063</v>
      </c>
      <c r="AC35" s="40">
        <v>36506</v>
      </c>
      <c r="AD35" s="40">
        <v>36409</v>
      </c>
      <c r="AE35" s="36"/>
      <c r="AF35" s="36"/>
      <c r="AG35" s="40">
        <f t="shared" si="30"/>
        <v>0</v>
      </c>
      <c r="AH35" s="40">
        <f t="shared" si="31"/>
        <v>0</v>
      </c>
      <c r="AI35" s="40"/>
      <c r="AJ35" s="40"/>
      <c r="AK35" s="36"/>
      <c r="AL35" s="36"/>
      <c r="AM35" s="40">
        <f t="shared" si="32"/>
        <v>11858</v>
      </c>
      <c r="AN35" s="40">
        <f t="shared" si="33"/>
        <v>9674</v>
      </c>
      <c r="AO35" s="40"/>
      <c r="AP35" s="40">
        <v>19</v>
      </c>
      <c r="AQ35" s="40">
        <v>11821</v>
      </c>
      <c r="AR35" s="40">
        <v>9630</v>
      </c>
      <c r="AS35" s="40">
        <v>2</v>
      </c>
      <c r="AT35" s="40"/>
      <c r="AU35" s="40">
        <v>35</v>
      </c>
      <c r="AV35" s="40">
        <v>25</v>
      </c>
      <c r="AW35" s="40">
        <f t="shared" si="73"/>
        <v>763438</v>
      </c>
      <c r="AX35" s="40">
        <f t="shared" si="73"/>
        <v>673692</v>
      </c>
      <c r="AY35" s="40">
        <f t="shared" si="35"/>
        <v>431001</v>
      </c>
      <c r="AZ35" s="40">
        <f t="shared" si="36"/>
        <v>362010</v>
      </c>
      <c r="BA35" s="40">
        <v>435354</v>
      </c>
      <c r="BB35" s="40">
        <v>366246</v>
      </c>
      <c r="BC35" s="40"/>
      <c r="BD35" s="40"/>
      <c r="BE35" s="40"/>
      <c r="BF35" s="40"/>
      <c r="BG35" s="40"/>
      <c r="BH35" s="40"/>
      <c r="BI35" s="36">
        <v>-4353</v>
      </c>
      <c r="BJ35" s="36">
        <v>-4236</v>
      </c>
      <c r="BK35" s="41">
        <f aca="true" t="shared" si="92" ref="BK35:BL43">BM35+BS35+BY35+CE35</f>
        <v>25079</v>
      </c>
      <c r="BL35" s="40">
        <f t="shared" si="92"/>
        <v>25319</v>
      </c>
      <c r="BM35" s="40">
        <f t="shared" si="38"/>
        <v>24292</v>
      </c>
      <c r="BN35" s="40">
        <f t="shared" si="39"/>
        <v>25162</v>
      </c>
      <c r="BO35" s="40">
        <v>33260</v>
      </c>
      <c r="BP35" s="40">
        <v>30043</v>
      </c>
      <c r="BQ35" s="36">
        <v>-8968</v>
      </c>
      <c r="BR35" s="36">
        <v>-4881</v>
      </c>
      <c r="BS35" s="40">
        <f t="shared" si="40"/>
        <v>0</v>
      </c>
      <c r="BT35" s="40">
        <f t="shared" si="41"/>
        <v>0</v>
      </c>
      <c r="BU35" s="40"/>
      <c r="BV35" s="40"/>
      <c r="BW35" s="40"/>
      <c r="BX35" s="40"/>
      <c r="BY35" s="40">
        <f t="shared" si="42"/>
        <v>0</v>
      </c>
      <c r="BZ35" s="40">
        <f t="shared" si="43"/>
        <v>0</v>
      </c>
      <c r="CA35" s="40"/>
      <c r="CB35" s="40">
        <v>28</v>
      </c>
      <c r="CC35" s="37"/>
      <c r="CD35" s="37">
        <v>-28</v>
      </c>
      <c r="CE35" s="40">
        <v>787</v>
      </c>
      <c r="CF35" s="40">
        <v>157</v>
      </c>
      <c r="CG35" s="40">
        <f t="shared" si="45"/>
        <v>0</v>
      </c>
      <c r="CH35" s="40">
        <f t="shared" si="46"/>
        <v>0</v>
      </c>
      <c r="CI35" s="40"/>
      <c r="CJ35" s="40"/>
      <c r="CK35" s="36"/>
      <c r="CL35" s="36"/>
      <c r="CM35" s="40">
        <f t="shared" si="47"/>
        <v>0</v>
      </c>
      <c r="CN35" s="40">
        <f t="shared" si="48"/>
        <v>0</v>
      </c>
      <c r="CO35" s="40"/>
      <c r="CP35" s="40"/>
      <c r="CQ35" s="40"/>
      <c r="CR35" s="40"/>
      <c r="CS35" s="40"/>
      <c r="CT35" s="40"/>
      <c r="CU35" s="36"/>
      <c r="CV35" s="36"/>
      <c r="CW35" s="40">
        <f t="shared" si="50"/>
        <v>307358</v>
      </c>
      <c r="CX35" s="40">
        <f t="shared" si="51"/>
        <v>286363</v>
      </c>
      <c r="CY35" s="40"/>
      <c r="CZ35" s="40"/>
      <c r="DA35" s="40"/>
      <c r="DB35" s="40"/>
      <c r="DC35" s="40">
        <v>307358</v>
      </c>
      <c r="DD35" s="40">
        <v>286363</v>
      </c>
      <c r="DE35" s="40">
        <f t="shared" si="53"/>
        <v>985028</v>
      </c>
      <c r="DF35" s="40">
        <f t="shared" si="54"/>
        <v>910096</v>
      </c>
      <c r="DG35" s="40">
        <f t="shared" si="55"/>
        <v>197119</v>
      </c>
      <c r="DH35" s="40">
        <f t="shared" si="56"/>
        <v>178654</v>
      </c>
      <c r="DI35" s="40">
        <f t="shared" si="74"/>
        <v>180833</v>
      </c>
      <c r="DJ35" s="40">
        <f t="shared" si="75"/>
        <v>171934</v>
      </c>
      <c r="DK35" s="40"/>
      <c r="DL35" s="40"/>
      <c r="DM35" s="40">
        <v>41447</v>
      </c>
      <c r="DN35" s="40">
        <v>41719</v>
      </c>
      <c r="DO35" s="40">
        <v>16062</v>
      </c>
      <c r="DP35" s="40">
        <v>128</v>
      </c>
      <c r="DQ35" s="40">
        <v>475</v>
      </c>
      <c r="DR35" s="40">
        <v>2744</v>
      </c>
      <c r="DS35" s="40">
        <v>930</v>
      </c>
      <c r="DT35" s="40">
        <v>639</v>
      </c>
      <c r="DU35" s="40"/>
      <c r="DV35" s="40"/>
      <c r="DW35" s="40"/>
      <c r="DX35" s="40"/>
      <c r="DY35" s="40"/>
      <c r="DZ35" s="40"/>
      <c r="EA35" s="40">
        <v>121919</v>
      </c>
      <c r="EB35" s="40">
        <v>126704</v>
      </c>
      <c r="EC35" s="40"/>
      <c r="ED35" s="40"/>
      <c r="EE35" s="40"/>
      <c r="EF35" s="40"/>
      <c r="EG35" s="40">
        <f aca="true" t="shared" si="93" ref="EG35:EG44">EI35+EK35+EM35+EO35+EQ35+ES35+EU35+EW35+EY35</f>
        <v>16286</v>
      </c>
      <c r="EH35" s="37">
        <f aca="true" t="shared" si="94" ref="EH35:EH70">EJ35+EL35+EN35+EP35+ER35+ET35+EV35+EX35+EZ35</f>
        <v>6720</v>
      </c>
      <c r="EI35" s="40"/>
      <c r="EJ35" s="40"/>
      <c r="EK35" s="40"/>
      <c r="EL35" s="40"/>
      <c r="EM35" s="40">
        <v>16286</v>
      </c>
      <c r="EN35" s="40">
        <v>6720</v>
      </c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>
        <f t="shared" si="59"/>
        <v>787909</v>
      </c>
      <c r="FB35" s="40">
        <f t="shared" si="60"/>
        <v>731442</v>
      </c>
      <c r="FC35" s="40">
        <f t="shared" si="76"/>
        <v>787047</v>
      </c>
      <c r="FD35" s="40">
        <f t="shared" si="77"/>
        <v>730311</v>
      </c>
      <c r="FE35" s="40">
        <v>669253</v>
      </c>
      <c r="FF35" s="40">
        <v>619253</v>
      </c>
      <c r="FG35" s="40"/>
      <c r="FH35" s="40"/>
      <c r="FI35" s="40">
        <v>7420</v>
      </c>
      <c r="FJ35" s="40">
        <v>3975</v>
      </c>
      <c r="FK35" s="40"/>
      <c r="FL35" s="40"/>
      <c r="FM35" s="40"/>
      <c r="FN35" s="40"/>
      <c r="FO35" s="40"/>
      <c r="FP35" s="40"/>
      <c r="FQ35" s="40">
        <v>58104</v>
      </c>
      <c r="FR35" s="40">
        <v>61551</v>
      </c>
      <c r="FS35" s="40">
        <v>8273</v>
      </c>
      <c r="FT35" s="40">
        <v>8273</v>
      </c>
      <c r="FU35" s="40"/>
      <c r="FV35" s="40"/>
      <c r="FW35" s="40">
        <v>43997</v>
      </c>
      <c r="FX35" s="40">
        <v>37259</v>
      </c>
      <c r="FY35" s="40"/>
      <c r="FZ35" s="40"/>
      <c r="GA35" s="40"/>
      <c r="GB35" s="40"/>
      <c r="GC35" s="40">
        <f t="shared" si="62"/>
        <v>862</v>
      </c>
      <c r="GD35" s="40">
        <f t="shared" si="63"/>
        <v>1131</v>
      </c>
      <c r="GE35" s="40">
        <v>862</v>
      </c>
      <c r="GF35" s="40">
        <v>1131</v>
      </c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60"/>
      <c r="GX35" s="60"/>
      <c r="GY35" s="60"/>
      <c r="GZ35" s="60"/>
      <c r="HA35" s="60"/>
      <c r="HB35" s="31">
        <f t="shared" si="17"/>
        <v>0</v>
      </c>
      <c r="HC35" s="31">
        <f t="shared" si="18"/>
        <v>0</v>
      </c>
      <c r="HD35" s="7"/>
      <c r="HE35" s="7"/>
      <c r="HF35" s="7"/>
    </row>
    <row r="36" spans="1:214" s="8" customFormat="1" ht="17.25" customHeight="1">
      <c r="A36" s="19">
        <v>19</v>
      </c>
      <c r="B36" s="20" t="s">
        <v>204</v>
      </c>
      <c r="C36" s="40">
        <f t="shared" si="19"/>
        <v>299475</v>
      </c>
      <c r="D36" s="40">
        <f t="shared" si="72"/>
        <v>255096</v>
      </c>
      <c r="E36" s="40">
        <f t="shared" si="21"/>
        <v>227294</v>
      </c>
      <c r="F36" s="40">
        <f t="shared" si="22"/>
        <v>231272</v>
      </c>
      <c r="G36" s="40">
        <f t="shared" si="23"/>
        <v>225569</v>
      </c>
      <c r="H36" s="40">
        <f t="shared" si="24"/>
        <v>229573</v>
      </c>
      <c r="I36" s="40">
        <v>1613</v>
      </c>
      <c r="J36" s="40">
        <v>345</v>
      </c>
      <c r="K36" s="40">
        <v>223956</v>
      </c>
      <c r="L36" s="40">
        <v>229228</v>
      </c>
      <c r="M36" s="40">
        <f t="shared" si="91"/>
        <v>0</v>
      </c>
      <c r="N36" s="40">
        <f t="shared" si="78"/>
        <v>0</v>
      </c>
      <c r="O36" s="40"/>
      <c r="P36" s="40"/>
      <c r="Q36" s="40"/>
      <c r="R36" s="40"/>
      <c r="S36" s="40">
        <f t="shared" si="79"/>
        <v>1703</v>
      </c>
      <c r="T36" s="40">
        <f t="shared" si="80"/>
        <v>1677</v>
      </c>
      <c r="U36" s="40">
        <v>317</v>
      </c>
      <c r="V36" s="40">
        <v>175</v>
      </c>
      <c r="W36" s="40">
        <v>1283</v>
      </c>
      <c r="X36" s="40">
        <v>1220</v>
      </c>
      <c r="Y36" s="40"/>
      <c r="Z36" s="40"/>
      <c r="AA36" s="40"/>
      <c r="AB36" s="40"/>
      <c r="AC36" s="40">
        <v>103</v>
      </c>
      <c r="AD36" s="40">
        <v>282</v>
      </c>
      <c r="AE36" s="36"/>
      <c r="AF36" s="36"/>
      <c r="AG36" s="40">
        <f t="shared" si="30"/>
        <v>0</v>
      </c>
      <c r="AH36" s="40">
        <f t="shared" si="31"/>
        <v>0</v>
      </c>
      <c r="AI36" s="40"/>
      <c r="AJ36" s="40"/>
      <c r="AK36" s="36"/>
      <c r="AL36" s="36"/>
      <c r="AM36" s="40">
        <f t="shared" si="32"/>
        <v>22</v>
      </c>
      <c r="AN36" s="40">
        <f t="shared" si="33"/>
        <v>22</v>
      </c>
      <c r="AO36" s="40"/>
      <c r="AP36" s="40"/>
      <c r="AQ36" s="40"/>
      <c r="AR36" s="40"/>
      <c r="AS36" s="40">
        <v>12</v>
      </c>
      <c r="AT36" s="40">
        <v>12</v>
      </c>
      <c r="AU36" s="40">
        <v>10</v>
      </c>
      <c r="AV36" s="40">
        <v>10</v>
      </c>
      <c r="AW36" s="40">
        <f t="shared" si="73"/>
        <v>72181</v>
      </c>
      <c r="AX36" s="40">
        <f t="shared" si="73"/>
        <v>23824</v>
      </c>
      <c r="AY36" s="40">
        <f t="shared" si="35"/>
        <v>34967</v>
      </c>
      <c r="AZ36" s="40">
        <f t="shared" si="36"/>
        <v>22418</v>
      </c>
      <c r="BA36" s="40"/>
      <c r="BB36" s="40"/>
      <c r="BC36" s="40"/>
      <c r="BD36" s="40"/>
      <c r="BE36" s="40"/>
      <c r="BF36" s="40"/>
      <c r="BG36" s="40">
        <v>34967</v>
      </c>
      <c r="BH36" s="40">
        <v>22418</v>
      </c>
      <c r="BI36" s="36"/>
      <c r="BJ36" s="36"/>
      <c r="BK36" s="41">
        <f t="shared" si="92"/>
        <v>37214</v>
      </c>
      <c r="BL36" s="40">
        <f t="shared" si="92"/>
        <v>1406</v>
      </c>
      <c r="BM36" s="40">
        <f t="shared" si="38"/>
        <v>3474</v>
      </c>
      <c r="BN36" s="40">
        <f t="shared" si="39"/>
        <v>1406</v>
      </c>
      <c r="BO36" s="40">
        <v>4109</v>
      </c>
      <c r="BP36" s="40">
        <v>1884</v>
      </c>
      <c r="BQ36" s="36">
        <v>-635</v>
      </c>
      <c r="BR36" s="36">
        <v>-478</v>
      </c>
      <c r="BS36" s="40">
        <f t="shared" si="40"/>
        <v>0</v>
      </c>
      <c r="BT36" s="40">
        <f t="shared" si="41"/>
        <v>0</v>
      </c>
      <c r="BU36" s="40"/>
      <c r="BV36" s="40"/>
      <c r="BW36" s="40"/>
      <c r="BX36" s="40"/>
      <c r="BY36" s="40">
        <f t="shared" si="42"/>
        <v>33740</v>
      </c>
      <c r="BZ36" s="40">
        <f t="shared" si="43"/>
        <v>0</v>
      </c>
      <c r="CA36" s="40">
        <v>33759</v>
      </c>
      <c r="CB36" s="40">
        <v>19</v>
      </c>
      <c r="CC36" s="37">
        <v>-19</v>
      </c>
      <c r="CD36" s="37">
        <v>-19</v>
      </c>
      <c r="CE36" s="40"/>
      <c r="CF36" s="40"/>
      <c r="CG36" s="40">
        <f t="shared" si="45"/>
        <v>0</v>
      </c>
      <c r="CH36" s="40">
        <f t="shared" si="46"/>
        <v>0</v>
      </c>
      <c r="CI36" s="40"/>
      <c r="CJ36" s="40"/>
      <c r="CK36" s="36"/>
      <c r="CL36" s="36"/>
      <c r="CM36" s="40">
        <f t="shared" si="47"/>
        <v>0</v>
      </c>
      <c r="CN36" s="40">
        <f t="shared" si="48"/>
        <v>0</v>
      </c>
      <c r="CO36" s="40"/>
      <c r="CP36" s="40"/>
      <c r="CQ36" s="40"/>
      <c r="CR36" s="40"/>
      <c r="CS36" s="40"/>
      <c r="CT36" s="40"/>
      <c r="CU36" s="36"/>
      <c r="CV36" s="36"/>
      <c r="CW36" s="40">
        <f t="shared" si="50"/>
        <v>0</v>
      </c>
      <c r="CX36" s="40">
        <f t="shared" si="51"/>
        <v>0</v>
      </c>
      <c r="CY36" s="40"/>
      <c r="CZ36" s="40"/>
      <c r="DA36" s="40"/>
      <c r="DB36" s="40"/>
      <c r="DC36" s="40"/>
      <c r="DD36" s="40"/>
      <c r="DE36" s="40">
        <f t="shared" si="53"/>
        <v>299475</v>
      </c>
      <c r="DF36" s="40">
        <f t="shared" si="54"/>
        <v>255096</v>
      </c>
      <c r="DG36" s="40">
        <f t="shared" si="55"/>
        <v>22531</v>
      </c>
      <c r="DH36" s="40">
        <f t="shared" si="56"/>
        <v>15756</v>
      </c>
      <c r="DI36" s="40">
        <f t="shared" si="74"/>
        <v>22531</v>
      </c>
      <c r="DJ36" s="40">
        <f t="shared" si="75"/>
        <v>15756</v>
      </c>
      <c r="DK36" s="40"/>
      <c r="DL36" s="40"/>
      <c r="DM36" s="40"/>
      <c r="DN36" s="40"/>
      <c r="DO36" s="40">
        <v>142</v>
      </c>
      <c r="DP36" s="40">
        <v>54</v>
      </c>
      <c r="DQ36" s="40">
        <v>641</v>
      </c>
      <c r="DR36" s="40">
        <v>776</v>
      </c>
      <c r="DS36" s="40">
        <v>1870</v>
      </c>
      <c r="DT36" s="40">
        <v>1646</v>
      </c>
      <c r="DU36" s="40"/>
      <c r="DV36" s="40"/>
      <c r="DW36" s="40"/>
      <c r="DX36" s="40"/>
      <c r="DY36" s="40"/>
      <c r="DZ36" s="40"/>
      <c r="EA36" s="40">
        <v>19537</v>
      </c>
      <c r="EB36" s="40">
        <v>12696</v>
      </c>
      <c r="EC36" s="40"/>
      <c r="ED36" s="40"/>
      <c r="EE36" s="40">
        <v>341</v>
      </c>
      <c r="EF36" s="40">
        <v>584</v>
      </c>
      <c r="EG36" s="40">
        <f t="shared" si="93"/>
        <v>0</v>
      </c>
      <c r="EH36" s="37">
        <f t="shared" si="94"/>
        <v>0</v>
      </c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>
        <f t="shared" si="59"/>
        <v>276944</v>
      </c>
      <c r="FB36" s="40">
        <f t="shared" si="60"/>
        <v>239340</v>
      </c>
      <c r="FC36" s="40">
        <f t="shared" si="76"/>
        <v>276944</v>
      </c>
      <c r="FD36" s="40">
        <f t="shared" si="77"/>
        <v>239340</v>
      </c>
      <c r="FE36" s="40">
        <v>227903</v>
      </c>
      <c r="FF36" s="40">
        <v>191720</v>
      </c>
      <c r="FG36" s="40"/>
      <c r="FH36" s="40"/>
      <c r="FI36" s="40">
        <v>4452</v>
      </c>
      <c r="FJ36" s="40">
        <v>4452</v>
      </c>
      <c r="FK36" s="40"/>
      <c r="FL36" s="40"/>
      <c r="FM36" s="40"/>
      <c r="FN36" s="40"/>
      <c r="FO36" s="40"/>
      <c r="FP36" s="40"/>
      <c r="FQ36" s="40">
        <v>25724</v>
      </c>
      <c r="FR36" s="40">
        <v>17064</v>
      </c>
      <c r="FS36" s="40">
        <v>9384</v>
      </c>
      <c r="FT36" s="40">
        <v>6859</v>
      </c>
      <c r="FU36" s="40"/>
      <c r="FV36" s="40"/>
      <c r="FW36" s="40">
        <v>9481</v>
      </c>
      <c r="FX36" s="40">
        <v>19245</v>
      </c>
      <c r="FY36" s="40"/>
      <c r="FZ36" s="40"/>
      <c r="GA36" s="40"/>
      <c r="GB36" s="40"/>
      <c r="GC36" s="40">
        <f t="shared" si="62"/>
        <v>0</v>
      </c>
      <c r="GD36" s="40">
        <f t="shared" si="63"/>
        <v>0</v>
      </c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60"/>
      <c r="GX36" s="60"/>
      <c r="GY36" s="60"/>
      <c r="GZ36" s="60"/>
      <c r="HA36" s="60"/>
      <c r="HB36" s="31">
        <f t="shared" si="17"/>
        <v>0</v>
      </c>
      <c r="HC36" s="31">
        <f t="shared" si="18"/>
        <v>0</v>
      </c>
      <c r="HD36" s="7"/>
      <c r="HE36" s="7"/>
      <c r="HF36" s="7"/>
    </row>
    <row r="37" spans="1:214" ht="17.25" customHeight="1">
      <c r="A37" s="19">
        <v>20</v>
      </c>
      <c r="B37" s="20" t="s">
        <v>205</v>
      </c>
      <c r="C37" s="40">
        <f t="shared" si="19"/>
        <v>2120834</v>
      </c>
      <c r="D37" s="40">
        <f t="shared" si="72"/>
        <v>2190883</v>
      </c>
      <c r="E37" s="40">
        <f t="shared" si="21"/>
        <v>1733649</v>
      </c>
      <c r="F37" s="40">
        <f t="shared" si="22"/>
        <v>1816931</v>
      </c>
      <c r="G37" s="40">
        <f t="shared" si="23"/>
        <v>30802</v>
      </c>
      <c r="H37" s="40">
        <f t="shared" si="24"/>
        <v>70111</v>
      </c>
      <c r="I37" s="40">
        <v>30802</v>
      </c>
      <c r="J37" s="40">
        <v>70111</v>
      </c>
      <c r="K37" s="40"/>
      <c r="L37" s="40"/>
      <c r="M37" s="40">
        <f t="shared" si="91"/>
        <v>107110</v>
      </c>
      <c r="N37" s="40">
        <f t="shared" si="78"/>
        <v>112771</v>
      </c>
      <c r="O37" s="40">
        <v>107110</v>
      </c>
      <c r="P37" s="40">
        <v>112771</v>
      </c>
      <c r="Q37" s="40">
        <v>0</v>
      </c>
      <c r="R37" s="40">
        <v>0</v>
      </c>
      <c r="S37" s="40">
        <f t="shared" si="79"/>
        <v>421676</v>
      </c>
      <c r="T37" s="40">
        <f t="shared" si="80"/>
        <v>118518</v>
      </c>
      <c r="U37" s="40">
        <v>304381</v>
      </c>
      <c r="V37" s="40">
        <v>36063</v>
      </c>
      <c r="W37" s="40">
        <v>58859</v>
      </c>
      <c r="X37" s="40">
        <v>44998</v>
      </c>
      <c r="Y37" s="40"/>
      <c r="Z37" s="40"/>
      <c r="AA37" s="40"/>
      <c r="AB37" s="40"/>
      <c r="AC37" s="40">
        <v>61507</v>
      </c>
      <c r="AD37" s="40">
        <v>40528</v>
      </c>
      <c r="AE37" s="36">
        <v>-3071</v>
      </c>
      <c r="AF37" s="36">
        <v>-3071</v>
      </c>
      <c r="AG37" s="40">
        <f t="shared" si="30"/>
        <v>952542</v>
      </c>
      <c r="AH37" s="40">
        <f t="shared" si="31"/>
        <v>1289719</v>
      </c>
      <c r="AI37" s="40">
        <v>952542</v>
      </c>
      <c r="AJ37" s="40">
        <v>1289965</v>
      </c>
      <c r="AK37" s="36">
        <v>0</v>
      </c>
      <c r="AL37" s="36">
        <v>-246</v>
      </c>
      <c r="AM37" s="40">
        <f t="shared" si="32"/>
        <v>221519</v>
      </c>
      <c r="AN37" s="40">
        <f t="shared" si="33"/>
        <v>225812</v>
      </c>
      <c r="AO37" s="40">
        <v>1596</v>
      </c>
      <c r="AP37" s="40">
        <v>3793</v>
      </c>
      <c r="AQ37" s="40">
        <v>0</v>
      </c>
      <c r="AR37" s="40">
        <v>15985</v>
      </c>
      <c r="AS37" s="40">
        <v>979</v>
      </c>
      <c r="AT37" s="40">
        <v>861</v>
      </c>
      <c r="AU37" s="40">
        <v>218944</v>
      </c>
      <c r="AV37" s="40">
        <v>205173</v>
      </c>
      <c r="AW37" s="40">
        <f t="shared" si="73"/>
        <v>387185</v>
      </c>
      <c r="AX37" s="40">
        <f t="shared" si="73"/>
        <v>373952</v>
      </c>
      <c r="AY37" s="40">
        <f t="shared" si="35"/>
        <v>0</v>
      </c>
      <c r="AZ37" s="40">
        <f t="shared" si="36"/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36">
        <v>0</v>
      </c>
      <c r="BJ37" s="36">
        <v>0</v>
      </c>
      <c r="BK37" s="41">
        <f t="shared" si="92"/>
        <v>231928</v>
      </c>
      <c r="BL37" s="40">
        <f t="shared" si="92"/>
        <v>223652</v>
      </c>
      <c r="BM37" s="40">
        <f t="shared" si="38"/>
        <v>53223</v>
      </c>
      <c r="BN37" s="40">
        <f t="shared" si="39"/>
        <v>58482</v>
      </c>
      <c r="BO37" s="40">
        <v>102956</v>
      </c>
      <c r="BP37" s="40">
        <v>103723</v>
      </c>
      <c r="BQ37" s="36">
        <v>-49733</v>
      </c>
      <c r="BR37" s="36">
        <v>-45241</v>
      </c>
      <c r="BS37" s="40">
        <f t="shared" si="40"/>
        <v>0</v>
      </c>
      <c r="BT37" s="40">
        <f t="shared" si="41"/>
        <v>0</v>
      </c>
      <c r="BU37" s="40"/>
      <c r="BV37" s="40"/>
      <c r="BW37" s="40"/>
      <c r="BX37" s="40"/>
      <c r="BY37" s="40">
        <f t="shared" si="42"/>
        <v>0</v>
      </c>
      <c r="BZ37" s="40">
        <f t="shared" si="43"/>
        <v>0</v>
      </c>
      <c r="CA37" s="40"/>
      <c r="CB37" s="40"/>
      <c r="CC37" s="37"/>
      <c r="CD37" s="37"/>
      <c r="CE37" s="40">
        <v>178705</v>
      </c>
      <c r="CF37" s="40">
        <v>165170</v>
      </c>
      <c r="CG37" s="40">
        <f t="shared" si="45"/>
        <v>0</v>
      </c>
      <c r="CH37" s="40">
        <f t="shared" si="46"/>
        <v>0</v>
      </c>
      <c r="CI37" s="40"/>
      <c r="CJ37" s="40"/>
      <c r="CK37" s="36"/>
      <c r="CL37" s="36"/>
      <c r="CM37" s="40">
        <f t="shared" si="47"/>
        <v>136439</v>
      </c>
      <c r="CN37" s="40">
        <f t="shared" si="48"/>
        <v>136436</v>
      </c>
      <c r="CO37" s="40"/>
      <c r="CP37" s="40"/>
      <c r="CQ37" s="40">
        <v>104705</v>
      </c>
      <c r="CR37" s="40">
        <v>101705</v>
      </c>
      <c r="CS37" s="40">
        <v>36008</v>
      </c>
      <c r="CT37" s="40">
        <v>38008</v>
      </c>
      <c r="CU37" s="36">
        <v>-4274</v>
      </c>
      <c r="CV37" s="36">
        <v>-3277</v>
      </c>
      <c r="CW37" s="40">
        <f t="shared" si="50"/>
        <v>18818</v>
      </c>
      <c r="CX37" s="40">
        <f t="shared" si="51"/>
        <v>13864</v>
      </c>
      <c r="CY37" s="40">
        <v>16312</v>
      </c>
      <c r="CZ37" s="40">
        <v>11358</v>
      </c>
      <c r="DA37" s="40">
        <v>2174</v>
      </c>
      <c r="DB37" s="40">
        <v>2174</v>
      </c>
      <c r="DC37" s="40">
        <v>332</v>
      </c>
      <c r="DD37" s="40">
        <v>332</v>
      </c>
      <c r="DE37" s="40">
        <f t="shared" si="53"/>
        <v>2120834</v>
      </c>
      <c r="DF37" s="40">
        <f t="shared" si="54"/>
        <v>2190883</v>
      </c>
      <c r="DG37" s="40">
        <f t="shared" si="55"/>
        <v>1622928</v>
      </c>
      <c r="DH37" s="40">
        <f t="shared" si="56"/>
        <v>1716843</v>
      </c>
      <c r="DI37" s="40">
        <f t="shared" si="74"/>
        <v>692243</v>
      </c>
      <c r="DJ37" s="40">
        <f t="shared" si="75"/>
        <v>903776</v>
      </c>
      <c r="DK37" s="40">
        <v>0</v>
      </c>
      <c r="DL37" s="40">
        <v>0</v>
      </c>
      <c r="DM37" s="40">
        <v>403676</v>
      </c>
      <c r="DN37" s="40">
        <v>426349</v>
      </c>
      <c r="DO37" s="40">
        <v>151835</v>
      </c>
      <c r="DP37" s="40">
        <v>363119</v>
      </c>
      <c r="DQ37" s="40">
        <v>4727</v>
      </c>
      <c r="DR37" s="40">
        <v>5278</v>
      </c>
      <c r="DS37" s="40">
        <v>21114</v>
      </c>
      <c r="DT37" s="40">
        <v>24262</v>
      </c>
      <c r="DU37" s="40">
        <v>53077</v>
      </c>
      <c r="DV37" s="40">
        <v>32872</v>
      </c>
      <c r="DW37" s="40">
        <v>0</v>
      </c>
      <c r="DX37" s="40">
        <v>321</v>
      </c>
      <c r="DY37" s="40"/>
      <c r="DZ37" s="40"/>
      <c r="EA37" s="40">
        <v>48514</v>
      </c>
      <c r="EB37" s="40">
        <v>49060</v>
      </c>
      <c r="EC37" s="40"/>
      <c r="ED37" s="40"/>
      <c r="EE37" s="40">
        <v>9300</v>
      </c>
      <c r="EF37" s="40">
        <v>2515</v>
      </c>
      <c r="EG37" s="40">
        <f t="shared" si="93"/>
        <v>930685</v>
      </c>
      <c r="EH37" s="37">
        <f t="shared" si="94"/>
        <v>813067</v>
      </c>
      <c r="EI37" s="40"/>
      <c r="EJ37" s="40"/>
      <c r="EK37" s="40"/>
      <c r="EL37" s="40"/>
      <c r="EM37" s="40">
        <v>918324</v>
      </c>
      <c r="EN37" s="40">
        <v>796913</v>
      </c>
      <c r="EO37" s="40">
        <v>12261</v>
      </c>
      <c r="EP37" s="40">
        <v>16154</v>
      </c>
      <c r="EQ37" s="40"/>
      <c r="ER37" s="40"/>
      <c r="ES37" s="40"/>
      <c r="ET37" s="40"/>
      <c r="EU37" s="40"/>
      <c r="EV37" s="40"/>
      <c r="EW37" s="40"/>
      <c r="EX37" s="40"/>
      <c r="EY37" s="40">
        <v>100</v>
      </c>
      <c r="EZ37" s="40">
        <v>0</v>
      </c>
      <c r="FA37" s="40">
        <f t="shared" si="59"/>
        <v>497906</v>
      </c>
      <c r="FB37" s="40">
        <f t="shared" si="60"/>
        <v>474040</v>
      </c>
      <c r="FC37" s="40">
        <f t="shared" si="76"/>
        <v>335321</v>
      </c>
      <c r="FD37" s="40">
        <f t="shared" si="77"/>
        <v>328305</v>
      </c>
      <c r="FE37" s="40">
        <v>284762</v>
      </c>
      <c r="FF37" s="40">
        <v>248007</v>
      </c>
      <c r="FG37" s="40">
        <v>0</v>
      </c>
      <c r="FH37" s="40">
        <v>0</v>
      </c>
      <c r="FI37" s="40">
        <v>0</v>
      </c>
      <c r="FJ37" s="40">
        <v>4931</v>
      </c>
      <c r="FK37" s="40"/>
      <c r="FL37" s="40"/>
      <c r="FM37" s="40"/>
      <c r="FN37" s="40"/>
      <c r="FO37" s="40"/>
      <c r="FP37" s="40"/>
      <c r="FQ37" s="40">
        <v>27021</v>
      </c>
      <c r="FR37" s="40">
        <v>8580</v>
      </c>
      <c r="FS37" s="40">
        <v>0</v>
      </c>
      <c r="FT37" s="40">
        <v>18665</v>
      </c>
      <c r="FU37" s="40">
        <v>0</v>
      </c>
      <c r="FV37" s="40">
        <v>0</v>
      </c>
      <c r="FW37" s="40">
        <v>23538</v>
      </c>
      <c r="FX37" s="40">
        <v>48122</v>
      </c>
      <c r="FY37" s="40"/>
      <c r="FZ37" s="40"/>
      <c r="GA37" s="40"/>
      <c r="GB37" s="40"/>
      <c r="GC37" s="40">
        <f t="shared" si="62"/>
        <v>162585</v>
      </c>
      <c r="GD37" s="40">
        <f t="shared" si="63"/>
        <v>145735</v>
      </c>
      <c r="GE37" s="40"/>
      <c r="GF37" s="40"/>
      <c r="GG37" s="40">
        <v>146158</v>
      </c>
      <c r="GH37" s="40">
        <v>129308</v>
      </c>
      <c r="GI37" s="40">
        <v>16427</v>
      </c>
      <c r="GJ37" s="40">
        <v>16427</v>
      </c>
      <c r="GK37" s="40"/>
      <c r="GL37" s="40"/>
      <c r="GM37" s="40"/>
      <c r="GN37" s="40"/>
      <c r="GO37" s="40"/>
      <c r="GP37" s="40"/>
      <c r="GQ37" s="40"/>
      <c r="GR37" s="40"/>
      <c r="GS37" s="40">
        <v>330.3</v>
      </c>
      <c r="GT37" s="40">
        <v>185951.4</v>
      </c>
      <c r="GU37" s="40"/>
      <c r="GV37" s="40"/>
      <c r="HB37" s="31">
        <f t="shared" si="17"/>
        <v>0</v>
      </c>
      <c r="HC37" s="31">
        <f t="shared" si="18"/>
        <v>0</v>
      </c>
      <c r="HD37" s="6"/>
      <c r="HE37" s="6"/>
      <c r="HF37" s="6"/>
    </row>
    <row r="38" spans="1:214" s="8" customFormat="1" ht="17.25" customHeight="1">
      <c r="A38" s="19">
        <v>21</v>
      </c>
      <c r="B38" s="20" t="s">
        <v>206</v>
      </c>
      <c r="C38" s="40">
        <f t="shared" si="19"/>
        <v>87349.619887</v>
      </c>
      <c r="D38" s="40">
        <f t="shared" si="72"/>
        <v>94604.60415900001</v>
      </c>
      <c r="E38" s="40">
        <f t="shared" si="21"/>
        <v>36586.135397</v>
      </c>
      <c r="F38" s="40">
        <f t="shared" si="22"/>
        <v>60355.954451</v>
      </c>
      <c r="G38" s="40">
        <f t="shared" si="23"/>
        <v>294.026773</v>
      </c>
      <c r="H38" s="40">
        <f t="shared" si="24"/>
        <v>689.249464</v>
      </c>
      <c r="I38" s="40">
        <f>294026773/1000000</f>
        <v>294.026773</v>
      </c>
      <c r="J38" s="40">
        <f>689249464/1000000</f>
        <v>689.249464</v>
      </c>
      <c r="K38" s="40">
        <v>0</v>
      </c>
      <c r="L38" s="40">
        <v>0</v>
      </c>
      <c r="M38" s="40">
        <f t="shared" si="91"/>
        <v>0</v>
      </c>
      <c r="N38" s="40">
        <f t="shared" si="78"/>
        <v>0</v>
      </c>
      <c r="O38" s="40">
        <v>0</v>
      </c>
      <c r="P38" s="40">
        <v>0</v>
      </c>
      <c r="Q38" s="40">
        <v>0</v>
      </c>
      <c r="R38" s="40">
        <v>0</v>
      </c>
      <c r="S38" s="40">
        <f t="shared" si="79"/>
        <v>6306.343418</v>
      </c>
      <c r="T38" s="40">
        <f t="shared" si="80"/>
        <v>35839.514227</v>
      </c>
      <c r="U38" s="40">
        <f>3339093189/1000000</f>
        <v>3339.093189</v>
      </c>
      <c r="V38" s="40">
        <f>6225374335/1000000</f>
        <v>6225.374335</v>
      </c>
      <c r="W38" s="40">
        <f>272561958/1000000</f>
        <v>272.561958</v>
      </c>
      <c r="X38" s="40">
        <f>82627265/1000000</f>
        <v>82.627265</v>
      </c>
      <c r="Y38" s="40">
        <v>0</v>
      </c>
      <c r="Z38" s="40">
        <v>0</v>
      </c>
      <c r="AA38" s="40">
        <v>0</v>
      </c>
      <c r="AB38" s="40">
        <v>0</v>
      </c>
      <c r="AC38" s="40">
        <f>2694688271/1000000</f>
        <v>2694.688271</v>
      </c>
      <c r="AD38" s="40">
        <f>29531512627/1000000</f>
        <v>29531.512627</v>
      </c>
      <c r="AE38" s="36">
        <v>0</v>
      </c>
      <c r="AF38" s="36">
        <v>0</v>
      </c>
      <c r="AG38" s="40">
        <f t="shared" si="30"/>
        <v>29663.155275</v>
      </c>
      <c r="AH38" s="40">
        <f t="shared" si="31"/>
        <v>23827.19076</v>
      </c>
      <c r="AI38" s="40">
        <f>29663155275/1000000</f>
        <v>29663.155275</v>
      </c>
      <c r="AJ38" s="40">
        <f>23827190760/1000000</f>
        <v>23827.19076</v>
      </c>
      <c r="AK38" s="36">
        <v>0</v>
      </c>
      <c r="AL38" s="36">
        <v>0</v>
      </c>
      <c r="AM38" s="40">
        <f t="shared" si="32"/>
        <v>322.609931</v>
      </c>
      <c r="AN38" s="40">
        <f t="shared" si="33"/>
        <v>0</v>
      </c>
      <c r="AO38" s="40">
        <f>110438961/1000000</f>
        <v>110.438961</v>
      </c>
      <c r="AP38" s="40">
        <v>0</v>
      </c>
      <c r="AQ38" s="40">
        <f>212170970/1000000</f>
        <v>212.17097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f t="shared" si="73"/>
        <v>50763.484489999995</v>
      </c>
      <c r="AX38" s="40">
        <f t="shared" si="73"/>
        <v>34248.649708000004</v>
      </c>
      <c r="AY38" s="40">
        <f t="shared" si="35"/>
        <v>0</v>
      </c>
      <c r="AZ38" s="40">
        <f t="shared" si="36"/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36">
        <v>0</v>
      </c>
      <c r="BJ38" s="36">
        <v>0</v>
      </c>
      <c r="BK38" s="41">
        <f t="shared" si="92"/>
        <v>49600.96449</v>
      </c>
      <c r="BL38" s="40">
        <f t="shared" si="92"/>
        <v>32352.858156000002</v>
      </c>
      <c r="BM38" s="40">
        <f t="shared" si="38"/>
        <v>46273.370255</v>
      </c>
      <c r="BN38" s="40">
        <f t="shared" si="39"/>
        <v>29025.263921</v>
      </c>
      <c r="BO38" s="40">
        <f>100384124887/1000000</f>
        <v>100384.124887</v>
      </c>
      <c r="BP38" s="40">
        <f>60835927446/1000000</f>
        <v>60835.927446</v>
      </c>
      <c r="BQ38" s="36">
        <f>-54110754632/1000000</f>
        <v>-54110.754632</v>
      </c>
      <c r="BR38" s="36">
        <f>-31810663525/1000000</f>
        <v>-31810.663525</v>
      </c>
      <c r="BS38" s="40">
        <f t="shared" si="40"/>
        <v>0</v>
      </c>
      <c r="BT38" s="40">
        <f t="shared" si="41"/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f t="shared" si="42"/>
        <v>0</v>
      </c>
      <c r="BZ38" s="40">
        <f t="shared" si="43"/>
        <v>0</v>
      </c>
      <c r="CA38" s="40">
        <v>0</v>
      </c>
      <c r="CB38" s="40">
        <v>0</v>
      </c>
      <c r="CC38" s="37">
        <v>0</v>
      </c>
      <c r="CD38" s="37">
        <v>0</v>
      </c>
      <c r="CE38" s="40">
        <f>3327594235/1000000</f>
        <v>3327.594235</v>
      </c>
      <c r="CF38" s="40">
        <f>3327594235/1000000</f>
        <v>3327.594235</v>
      </c>
      <c r="CG38" s="40">
        <f t="shared" si="45"/>
        <v>0</v>
      </c>
      <c r="CH38" s="40">
        <f t="shared" si="46"/>
        <v>0</v>
      </c>
      <c r="CI38" s="40">
        <v>0</v>
      </c>
      <c r="CJ38" s="40">
        <v>0</v>
      </c>
      <c r="CK38" s="36">
        <v>0</v>
      </c>
      <c r="CL38" s="36">
        <v>0</v>
      </c>
      <c r="CM38" s="40">
        <f t="shared" si="47"/>
        <v>1000</v>
      </c>
      <c r="CN38" s="40">
        <f t="shared" si="48"/>
        <v>1000</v>
      </c>
      <c r="CO38" s="40">
        <f>1000000000/1000000</f>
        <v>1000</v>
      </c>
      <c r="CP38" s="40">
        <v>1000</v>
      </c>
      <c r="CQ38" s="40">
        <v>0</v>
      </c>
      <c r="CR38" s="40">
        <v>0</v>
      </c>
      <c r="CS38" s="40">
        <v>0</v>
      </c>
      <c r="CT38" s="40">
        <v>0</v>
      </c>
      <c r="CU38" s="36">
        <v>0</v>
      </c>
      <c r="CV38" s="36">
        <v>0</v>
      </c>
      <c r="CW38" s="40">
        <f t="shared" si="50"/>
        <v>162.52</v>
      </c>
      <c r="CX38" s="40">
        <f t="shared" si="51"/>
        <v>895.791552</v>
      </c>
      <c r="CY38" s="40">
        <f>162520000/1000000</f>
        <v>162.52</v>
      </c>
      <c r="CZ38" s="40">
        <f>895791552/1000000</f>
        <v>895.791552</v>
      </c>
      <c r="DA38" s="40">
        <v>0</v>
      </c>
      <c r="DB38" s="40">
        <v>0</v>
      </c>
      <c r="DC38" s="40">
        <v>0</v>
      </c>
      <c r="DD38" s="40">
        <v>0</v>
      </c>
      <c r="DE38" s="40">
        <f t="shared" si="53"/>
        <v>87349.619887</v>
      </c>
      <c r="DF38" s="40">
        <f t="shared" si="54"/>
        <v>94604.60415900001</v>
      </c>
      <c r="DG38" s="40">
        <f t="shared" si="55"/>
        <v>42895.386417999995</v>
      </c>
      <c r="DH38" s="40">
        <f t="shared" si="56"/>
        <v>52249.716036</v>
      </c>
      <c r="DI38" s="40">
        <f t="shared" si="74"/>
        <v>26292.679277</v>
      </c>
      <c r="DJ38" s="40">
        <f t="shared" si="75"/>
        <v>30536.943894999997</v>
      </c>
      <c r="DK38" s="40">
        <f>14936620835/1000000</f>
        <v>14936.620835</v>
      </c>
      <c r="DL38" s="40">
        <f>11272219271/1000000</f>
        <v>11272.219271</v>
      </c>
      <c r="DM38" s="40">
        <f>4901006035/1000000</f>
        <v>4901.006035</v>
      </c>
      <c r="DN38" s="40">
        <f>3530330802/1000000</f>
        <v>3530.330802</v>
      </c>
      <c r="DO38" s="40">
        <f>1256501001/1000000</f>
        <v>1256.501001</v>
      </c>
      <c r="DP38" s="40">
        <f>1358835912/1000000</f>
        <v>1358.835912</v>
      </c>
      <c r="DQ38" s="40">
        <f>4772631152/1000000</f>
        <v>4772.631152</v>
      </c>
      <c r="DR38" s="40">
        <f>13834547578/1000000</f>
        <v>13834.547578</v>
      </c>
      <c r="DS38" s="40">
        <v>0</v>
      </c>
      <c r="DT38" s="40">
        <v>0</v>
      </c>
      <c r="DU38" s="40">
        <v>0</v>
      </c>
      <c r="DV38" s="40">
        <v>0</v>
      </c>
      <c r="DW38" s="40">
        <v>0</v>
      </c>
      <c r="DX38" s="40">
        <v>0</v>
      </c>
      <c r="DY38" s="40">
        <v>0</v>
      </c>
      <c r="DZ38" s="40">
        <v>0</v>
      </c>
      <c r="EA38" s="40">
        <f>192000/1000000</f>
        <v>0.192</v>
      </c>
      <c r="EB38" s="40">
        <f>10192000/1000000</f>
        <v>10.192</v>
      </c>
      <c r="EC38" s="40">
        <v>0</v>
      </c>
      <c r="ED38" s="40">
        <v>0</v>
      </c>
      <c r="EE38" s="40">
        <f>425728254/1000000</f>
        <v>425.728254</v>
      </c>
      <c r="EF38" s="40">
        <f>530818332/1000000</f>
        <v>530.818332</v>
      </c>
      <c r="EG38" s="40">
        <f t="shared" si="93"/>
        <v>16602.707141</v>
      </c>
      <c r="EH38" s="37">
        <f t="shared" si="94"/>
        <v>21712.772141</v>
      </c>
      <c r="EI38" s="40">
        <v>0</v>
      </c>
      <c r="EJ38" s="40">
        <v>0</v>
      </c>
      <c r="EK38" s="40">
        <v>0</v>
      </c>
      <c r="EL38" s="40">
        <v>0</v>
      </c>
      <c r="EM38" s="40">
        <f>5102450000/1000000</f>
        <v>5102.45</v>
      </c>
      <c r="EN38" s="40">
        <f>4701484000/1000000</f>
        <v>4701.484</v>
      </c>
      <c r="EO38" s="40">
        <f>11500</f>
        <v>11500</v>
      </c>
      <c r="EP38" s="40">
        <v>17000</v>
      </c>
      <c r="EQ38" s="40">
        <v>0</v>
      </c>
      <c r="ER38" s="40">
        <v>0</v>
      </c>
      <c r="ES38" s="40">
        <f>257141/1000000</f>
        <v>0.257141</v>
      </c>
      <c r="ET38" s="40">
        <f>11288141/1000000</f>
        <v>11.288141</v>
      </c>
      <c r="EU38" s="40">
        <v>0</v>
      </c>
      <c r="EV38" s="40">
        <v>0</v>
      </c>
      <c r="EW38" s="40">
        <v>0</v>
      </c>
      <c r="EX38" s="40">
        <v>0</v>
      </c>
      <c r="EY38" s="40">
        <v>0</v>
      </c>
      <c r="EZ38" s="40">
        <v>0</v>
      </c>
      <c r="FA38" s="40">
        <f t="shared" si="59"/>
        <v>44454.233469</v>
      </c>
      <c r="FB38" s="40">
        <f t="shared" si="60"/>
        <v>42354.888123000004</v>
      </c>
      <c r="FC38" s="40">
        <f t="shared" si="76"/>
        <v>44454.233469</v>
      </c>
      <c r="FD38" s="40">
        <f t="shared" si="77"/>
        <v>42354.888123000004</v>
      </c>
      <c r="FE38" s="40">
        <f>37073</f>
        <v>37073</v>
      </c>
      <c r="FF38" s="40">
        <v>33256</v>
      </c>
      <c r="FG38" s="40">
        <v>0</v>
      </c>
      <c r="FH38" s="40">
        <v>0</v>
      </c>
      <c r="FI38" s="40">
        <v>0</v>
      </c>
      <c r="FJ38" s="40">
        <f>296027840/1000000</f>
        <v>296.02784</v>
      </c>
      <c r="FK38" s="40">
        <v>0</v>
      </c>
      <c r="FL38" s="40">
        <v>0</v>
      </c>
      <c r="FM38" s="40">
        <v>0</v>
      </c>
      <c r="FN38" s="40">
        <v>0</v>
      </c>
      <c r="FO38" s="40">
        <f>-118043609/1000000</f>
        <v>-118.043609</v>
      </c>
      <c r="FP38" s="40">
        <f>775949/1000000</f>
        <v>0.775949</v>
      </c>
      <c r="FQ38" s="40">
        <v>0</v>
      </c>
      <c r="FR38" s="40">
        <v>0</v>
      </c>
      <c r="FS38" s="40">
        <f>532778305/1000000</f>
        <v>532.778305</v>
      </c>
      <c r="FT38" s="40">
        <f>217518610/1000000</f>
        <v>217.51861</v>
      </c>
      <c r="FU38" s="40">
        <v>0</v>
      </c>
      <c r="FV38" s="40">
        <v>0</v>
      </c>
      <c r="FW38" s="40">
        <f>6966498773/1000000</f>
        <v>6966.498773</v>
      </c>
      <c r="FX38" s="40">
        <f>8584565724/1000000</f>
        <v>8584.565724</v>
      </c>
      <c r="FY38" s="40">
        <v>0</v>
      </c>
      <c r="FZ38" s="40">
        <v>0</v>
      </c>
      <c r="GA38" s="40">
        <v>0</v>
      </c>
      <c r="GB38" s="40">
        <v>0</v>
      </c>
      <c r="GC38" s="40">
        <f t="shared" si="62"/>
        <v>0</v>
      </c>
      <c r="GD38" s="40">
        <f t="shared" si="63"/>
        <v>0</v>
      </c>
      <c r="GE38" s="40">
        <v>0</v>
      </c>
      <c r="GF38" s="40">
        <v>0</v>
      </c>
      <c r="GG38" s="40">
        <v>0</v>
      </c>
      <c r="GH38" s="40">
        <v>0</v>
      </c>
      <c r="GI38" s="40">
        <v>0</v>
      </c>
      <c r="GJ38" s="40">
        <v>0</v>
      </c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60"/>
      <c r="GX38" s="60"/>
      <c r="GY38" s="60"/>
      <c r="GZ38" s="60"/>
      <c r="HA38" s="60"/>
      <c r="HB38" s="31">
        <f t="shared" si="17"/>
        <v>0</v>
      </c>
      <c r="HC38" s="31">
        <f t="shared" si="18"/>
        <v>0</v>
      </c>
      <c r="HD38" s="7"/>
      <c r="HE38" s="7"/>
      <c r="HF38" s="7"/>
    </row>
    <row r="39" spans="1:214" s="8" customFormat="1" ht="17.25" customHeight="1">
      <c r="A39" s="19">
        <v>22</v>
      </c>
      <c r="B39" s="20" t="s">
        <v>207</v>
      </c>
      <c r="C39" s="40">
        <f t="shared" si="19"/>
        <v>245762.608277</v>
      </c>
      <c r="D39" s="40">
        <f t="shared" si="72"/>
        <v>246894.725726</v>
      </c>
      <c r="E39" s="40">
        <f>234220099535/1000000</f>
        <v>234220.099535</v>
      </c>
      <c r="F39" s="40">
        <f>233718580316/1000000</f>
        <v>233718.580316</v>
      </c>
      <c r="G39" s="40">
        <f t="shared" si="23"/>
        <v>214967.462686</v>
      </c>
      <c r="H39" s="40">
        <f t="shared" si="24"/>
        <v>212066.860937</v>
      </c>
      <c r="I39" s="40">
        <f>214967462686/1000000</f>
        <v>214967.462686</v>
      </c>
      <c r="J39" s="40">
        <f>212066860937/1000000</f>
        <v>212066.860937</v>
      </c>
      <c r="K39" s="40">
        <v>0</v>
      </c>
      <c r="L39" s="40">
        <v>0</v>
      </c>
      <c r="M39" s="40">
        <f t="shared" si="91"/>
        <v>0</v>
      </c>
      <c r="N39" s="40">
        <f t="shared" si="78"/>
        <v>0</v>
      </c>
      <c r="O39" s="40"/>
      <c r="P39" s="40"/>
      <c r="Q39" s="40"/>
      <c r="R39" s="40"/>
      <c r="S39" s="40">
        <f t="shared" si="79"/>
        <v>18684.904569</v>
      </c>
      <c r="T39" s="40">
        <f t="shared" si="80"/>
        <v>21381.474733</v>
      </c>
      <c r="U39" s="40">
        <f>5019357875/1000000</f>
        <v>5019.357875</v>
      </c>
      <c r="V39" s="40">
        <f>8166974454/1000000</f>
        <v>8166.974454</v>
      </c>
      <c r="W39" s="40">
        <f>77935064/1000000</f>
        <v>77.935064</v>
      </c>
      <c r="X39" s="40">
        <f>360123555/1000000</f>
        <v>360.123555</v>
      </c>
      <c r="Y39" s="40">
        <v>0</v>
      </c>
      <c r="Z39" s="40">
        <v>0</v>
      </c>
      <c r="AA39" s="40">
        <v>0</v>
      </c>
      <c r="AB39" s="40">
        <v>0</v>
      </c>
      <c r="AC39" s="40">
        <f>13587611630/1000000</f>
        <v>13587.61163</v>
      </c>
      <c r="AD39" s="40">
        <f>12854376724/1000000</f>
        <v>12854.376724</v>
      </c>
      <c r="AE39" s="36">
        <v>0</v>
      </c>
      <c r="AF39" s="36">
        <v>0</v>
      </c>
      <c r="AG39" s="40">
        <f t="shared" si="30"/>
        <v>0</v>
      </c>
      <c r="AH39" s="40">
        <f t="shared" si="31"/>
        <v>0</v>
      </c>
      <c r="AI39" s="40">
        <v>0</v>
      </c>
      <c r="AJ39" s="40">
        <v>0</v>
      </c>
      <c r="AK39" s="36">
        <v>0</v>
      </c>
      <c r="AL39" s="36">
        <v>0</v>
      </c>
      <c r="AM39" s="40">
        <f t="shared" si="32"/>
        <v>567.7322800000001</v>
      </c>
      <c r="AN39" s="40">
        <f t="shared" si="33"/>
        <v>270.244646</v>
      </c>
      <c r="AO39" s="40">
        <f>34460091/1000000</f>
        <v>34.460091</v>
      </c>
      <c r="AP39" s="40">
        <f>111119426/1000000</f>
        <v>111.119426</v>
      </c>
      <c r="AQ39" s="40">
        <v>0</v>
      </c>
      <c r="AR39" s="40">
        <v>0</v>
      </c>
      <c r="AS39" s="40">
        <f>17932189/1000000</f>
        <v>17.932189</v>
      </c>
      <c r="AT39" s="40">
        <v>0</v>
      </c>
      <c r="AU39" s="40">
        <f>515340000/1000000</f>
        <v>515.34</v>
      </c>
      <c r="AV39" s="40">
        <f>159125220/1000000</f>
        <v>159.12522</v>
      </c>
      <c r="AW39" s="40">
        <f t="shared" si="73"/>
        <v>11542.508742</v>
      </c>
      <c r="AX39" s="40">
        <f>AZ39+BL39+CH39+CN39+CX39</f>
        <v>13176.145410000001</v>
      </c>
      <c r="AY39" s="40">
        <f t="shared" si="35"/>
        <v>0</v>
      </c>
      <c r="AZ39" s="40">
        <f t="shared" si="36"/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36">
        <v>0</v>
      </c>
      <c r="BJ39" s="36">
        <v>0</v>
      </c>
      <c r="BK39" s="41">
        <f t="shared" si="92"/>
        <v>10209.224349</v>
      </c>
      <c r="BL39" s="40">
        <f t="shared" si="92"/>
        <v>12304.81715</v>
      </c>
      <c r="BM39" s="40">
        <f t="shared" si="38"/>
        <v>10209.224349</v>
      </c>
      <c r="BN39" s="40">
        <f t="shared" si="39"/>
        <v>11974.81715</v>
      </c>
      <c r="BO39" s="40">
        <f>16087109520/1000000</f>
        <v>16087.10952</v>
      </c>
      <c r="BP39" s="40">
        <f>21054678390/1000000</f>
        <v>21054.67839</v>
      </c>
      <c r="BQ39" s="36">
        <f>-5877885171/1000000</f>
        <v>-5877.885171</v>
      </c>
      <c r="BR39" s="36">
        <f>-9079861240/1000000</f>
        <v>-9079.86124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f t="shared" si="42"/>
        <v>0</v>
      </c>
      <c r="BZ39" s="40">
        <f t="shared" si="43"/>
        <v>0</v>
      </c>
      <c r="CA39" s="40"/>
      <c r="CB39" s="40"/>
      <c r="CC39" s="37">
        <v>0</v>
      </c>
      <c r="CD39" s="37">
        <v>0</v>
      </c>
      <c r="CE39" s="40">
        <v>0</v>
      </c>
      <c r="CF39" s="40">
        <f>330000000/1000000</f>
        <v>330</v>
      </c>
      <c r="CG39" s="40">
        <f t="shared" si="45"/>
        <v>0</v>
      </c>
      <c r="CH39" s="40">
        <f t="shared" si="46"/>
        <v>0</v>
      </c>
      <c r="CI39" s="40">
        <v>0</v>
      </c>
      <c r="CJ39" s="40">
        <v>0</v>
      </c>
      <c r="CK39" s="36">
        <v>0</v>
      </c>
      <c r="CL39" s="36">
        <v>0</v>
      </c>
      <c r="CM39" s="40">
        <f t="shared" si="47"/>
        <v>0</v>
      </c>
      <c r="CN39" s="40">
        <f t="shared" si="48"/>
        <v>0</v>
      </c>
      <c r="CO39" s="40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36">
        <v>0</v>
      </c>
      <c r="CV39" s="36">
        <v>0</v>
      </c>
      <c r="CW39" s="40">
        <f t="shared" si="50"/>
        <v>1333.284393</v>
      </c>
      <c r="CX39" s="40">
        <f t="shared" si="51"/>
        <v>871.32826</v>
      </c>
      <c r="CY39" s="40">
        <f>803284393/1000000</f>
        <v>803.284393</v>
      </c>
      <c r="CZ39" s="40">
        <f>341328260/1000000</f>
        <v>341.32826</v>
      </c>
      <c r="DA39" s="40">
        <v>0</v>
      </c>
      <c r="DB39" s="40">
        <v>0</v>
      </c>
      <c r="DC39" s="40">
        <f>530000000/1000000</f>
        <v>530</v>
      </c>
      <c r="DD39" s="40">
        <f>530000000/1000000</f>
        <v>530</v>
      </c>
      <c r="DE39" s="40">
        <f t="shared" si="53"/>
        <v>245762.608277</v>
      </c>
      <c r="DF39" s="40">
        <f>DH39+FB39</f>
        <v>246894.725726</v>
      </c>
      <c r="DG39" s="40">
        <f t="shared" si="55"/>
        <v>183238.307554</v>
      </c>
      <c r="DH39" s="40">
        <f t="shared" si="56"/>
        <v>191005.628109</v>
      </c>
      <c r="DI39" s="40">
        <f t="shared" si="74"/>
        <v>183168.307554</v>
      </c>
      <c r="DJ39" s="40">
        <f t="shared" si="75"/>
        <v>190865.628109</v>
      </c>
      <c r="DK39" s="40">
        <v>0</v>
      </c>
      <c r="DL39" s="40">
        <v>0</v>
      </c>
      <c r="DM39" s="40">
        <f>86059696/1000000</f>
        <v>86.059696</v>
      </c>
      <c r="DN39" s="40">
        <v>0</v>
      </c>
      <c r="DO39" s="40">
        <v>0</v>
      </c>
      <c r="DP39" s="40">
        <v>0</v>
      </c>
      <c r="DQ39" s="40">
        <f>1618191968/1000000</f>
        <v>1618.191968</v>
      </c>
      <c r="DR39" s="40">
        <f>1734332854/1000000</f>
        <v>1734.332854</v>
      </c>
      <c r="DS39" s="40">
        <f>2585220848/1000000</f>
        <v>2585.220848</v>
      </c>
      <c r="DT39" s="40">
        <f>2576290734/1000000</f>
        <v>2576.290734</v>
      </c>
      <c r="DU39" s="40">
        <v>0</v>
      </c>
      <c r="DV39" s="40">
        <f>2667170853/1000000</f>
        <v>2667.170853</v>
      </c>
      <c r="DW39" s="40">
        <v>0</v>
      </c>
      <c r="DX39" s="40">
        <v>0</v>
      </c>
      <c r="DY39" s="40">
        <v>0</v>
      </c>
      <c r="DZ39" s="40">
        <v>0</v>
      </c>
      <c r="EA39" s="40">
        <f>178344768652/1000000</f>
        <v>178344.768652</v>
      </c>
      <c r="EB39" s="40">
        <f>180294114023/1000000</f>
        <v>180294.114023</v>
      </c>
      <c r="EC39" s="40">
        <v>0</v>
      </c>
      <c r="ED39" s="40">
        <v>0</v>
      </c>
      <c r="EE39" s="40">
        <f>534066390/1000000</f>
        <v>534.06639</v>
      </c>
      <c r="EF39" s="40">
        <f>3593719645/1000000</f>
        <v>3593.719645</v>
      </c>
      <c r="EG39" s="40">
        <f t="shared" si="93"/>
        <v>70</v>
      </c>
      <c r="EH39" s="37">
        <f t="shared" si="94"/>
        <v>140</v>
      </c>
      <c r="EI39" s="40">
        <v>0</v>
      </c>
      <c r="EJ39" s="40">
        <v>0</v>
      </c>
      <c r="EK39" s="40">
        <v>0</v>
      </c>
      <c r="EL39" s="40">
        <v>0</v>
      </c>
      <c r="EM39" s="40">
        <f>70000000/1000000</f>
        <v>70</v>
      </c>
      <c r="EN39" s="40">
        <f>140000000/1000000</f>
        <v>140</v>
      </c>
      <c r="EO39" s="40">
        <v>0</v>
      </c>
      <c r="EP39" s="40">
        <v>0</v>
      </c>
      <c r="EQ39" s="40">
        <v>0</v>
      </c>
      <c r="ER39" s="40">
        <v>0</v>
      </c>
      <c r="ES39" s="40">
        <v>0</v>
      </c>
      <c r="ET39" s="40">
        <v>0</v>
      </c>
      <c r="EU39" s="40">
        <v>0</v>
      </c>
      <c r="EV39" s="40">
        <v>0</v>
      </c>
      <c r="EW39" s="40">
        <v>0</v>
      </c>
      <c r="EX39" s="40">
        <v>0</v>
      </c>
      <c r="EY39" s="40">
        <v>0</v>
      </c>
      <c r="EZ39" s="40">
        <v>0</v>
      </c>
      <c r="FA39" s="40">
        <f t="shared" si="59"/>
        <v>62524.300723</v>
      </c>
      <c r="FB39" s="40">
        <f t="shared" si="60"/>
        <v>55889.097617</v>
      </c>
      <c r="FC39" s="40">
        <f t="shared" si="76"/>
        <v>62524.300723</v>
      </c>
      <c r="FD39" s="40">
        <f t="shared" si="77"/>
        <v>55889.097617</v>
      </c>
      <c r="FE39" s="40">
        <f>32583000000/1000000</f>
        <v>32583</v>
      </c>
      <c r="FF39" s="40">
        <f>32583000000/1000000</f>
        <v>32583</v>
      </c>
      <c r="FG39" s="40">
        <v>0</v>
      </c>
      <c r="FH39" s="40">
        <v>0</v>
      </c>
      <c r="FI39" s="40">
        <v>0</v>
      </c>
      <c r="FJ39" s="40">
        <v>0</v>
      </c>
      <c r="FK39" s="40">
        <v>0</v>
      </c>
      <c r="FL39" s="40">
        <v>0</v>
      </c>
      <c r="FM39" s="40">
        <v>0</v>
      </c>
      <c r="FN39" s="40">
        <v>0</v>
      </c>
      <c r="FO39" s="40">
        <v>0</v>
      </c>
      <c r="FP39" s="40">
        <v>0</v>
      </c>
      <c r="FQ39" s="40">
        <v>0</v>
      </c>
      <c r="FR39" s="40">
        <v>0</v>
      </c>
      <c r="FS39" s="40">
        <f>2351437799/1000000</f>
        <v>2351.437799</v>
      </c>
      <c r="FT39" s="40">
        <f>2351437799/1000000</f>
        <v>2351.437799</v>
      </c>
      <c r="FU39" s="40">
        <v>0</v>
      </c>
      <c r="FV39" s="40">
        <v>0</v>
      </c>
      <c r="FW39" s="40">
        <f>27589862924/1000000</f>
        <v>27589.862924</v>
      </c>
      <c r="FX39" s="40">
        <f>20954659818/1000000</f>
        <v>20954.659818</v>
      </c>
      <c r="FY39" s="40">
        <v>0</v>
      </c>
      <c r="FZ39" s="40">
        <v>0</v>
      </c>
      <c r="GA39" s="40">
        <v>0</v>
      </c>
      <c r="GB39" s="40">
        <v>0</v>
      </c>
      <c r="GC39" s="40">
        <v>0</v>
      </c>
      <c r="GD39" s="40">
        <v>0</v>
      </c>
      <c r="GE39" s="40">
        <v>0</v>
      </c>
      <c r="GF39" s="40">
        <v>0</v>
      </c>
      <c r="GG39" s="40">
        <v>0</v>
      </c>
      <c r="GH39" s="40">
        <v>0</v>
      </c>
      <c r="GI39" s="40">
        <v>0</v>
      </c>
      <c r="GJ39" s="40">
        <v>0</v>
      </c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60"/>
      <c r="GX39" s="60"/>
      <c r="GY39" s="60"/>
      <c r="GZ39" s="60"/>
      <c r="HA39" s="60"/>
      <c r="HB39" s="31">
        <f t="shared" si="17"/>
        <v>0</v>
      </c>
      <c r="HC39" s="31">
        <f t="shared" si="18"/>
        <v>0</v>
      </c>
      <c r="HD39" s="7"/>
      <c r="HE39" s="7"/>
      <c r="HF39" s="7"/>
    </row>
    <row r="40" spans="1:214" s="8" customFormat="1" ht="17.25" customHeight="1">
      <c r="A40" s="19">
        <v>23</v>
      </c>
      <c r="B40" s="20" t="s">
        <v>208</v>
      </c>
      <c r="C40" s="40">
        <f t="shared" si="19"/>
        <v>1359995</v>
      </c>
      <c r="D40" s="40">
        <f t="shared" si="72"/>
        <v>1169269</v>
      </c>
      <c r="E40" s="40">
        <f aca="true" t="shared" si="95" ref="E40:F43">G40+M40+S40+AG40+AM40</f>
        <v>118296</v>
      </c>
      <c r="F40" s="40">
        <f t="shared" si="95"/>
        <v>109110</v>
      </c>
      <c r="G40" s="40">
        <f t="shared" si="23"/>
        <v>11376</v>
      </c>
      <c r="H40" s="40">
        <f t="shared" si="24"/>
        <v>15792</v>
      </c>
      <c r="I40" s="40">
        <v>11376</v>
      </c>
      <c r="J40" s="40">
        <v>15792</v>
      </c>
      <c r="K40" s="40"/>
      <c r="L40" s="40"/>
      <c r="M40" s="40">
        <f t="shared" si="91"/>
        <v>0</v>
      </c>
      <c r="N40" s="40">
        <f t="shared" si="78"/>
        <v>0</v>
      </c>
      <c r="O40" s="40"/>
      <c r="P40" s="40"/>
      <c r="Q40" s="40"/>
      <c r="R40" s="40"/>
      <c r="S40" s="40">
        <f t="shared" si="79"/>
        <v>88730</v>
      </c>
      <c r="T40" s="40">
        <f t="shared" si="80"/>
        <v>67668</v>
      </c>
      <c r="U40" s="40">
        <v>21544</v>
      </c>
      <c r="V40" s="40">
        <v>7079</v>
      </c>
      <c r="W40" s="40">
        <v>65135</v>
      </c>
      <c r="X40" s="40">
        <v>59979</v>
      </c>
      <c r="Y40" s="40"/>
      <c r="Z40" s="40"/>
      <c r="AA40" s="40"/>
      <c r="AB40" s="40"/>
      <c r="AC40" s="40">
        <v>2227</v>
      </c>
      <c r="AD40" s="40">
        <v>786</v>
      </c>
      <c r="AE40" s="36">
        <v>-176</v>
      </c>
      <c r="AF40" s="36">
        <v>-176</v>
      </c>
      <c r="AG40" s="40">
        <f t="shared" si="30"/>
        <v>14537</v>
      </c>
      <c r="AH40" s="40">
        <f t="shared" si="31"/>
        <v>22786</v>
      </c>
      <c r="AI40" s="40">
        <v>14537</v>
      </c>
      <c r="AJ40" s="40">
        <v>22786</v>
      </c>
      <c r="AK40" s="36"/>
      <c r="AL40" s="36"/>
      <c r="AM40" s="40">
        <f t="shared" si="32"/>
        <v>3653</v>
      </c>
      <c r="AN40" s="40">
        <f t="shared" si="33"/>
        <v>2864</v>
      </c>
      <c r="AO40" s="40"/>
      <c r="AP40" s="40"/>
      <c r="AQ40" s="40"/>
      <c r="AR40" s="40">
        <v>20</v>
      </c>
      <c r="AS40" s="40"/>
      <c r="AT40" s="40"/>
      <c r="AU40" s="40">
        <v>3653</v>
      </c>
      <c r="AV40" s="40">
        <v>2844</v>
      </c>
      <c r="AW40" s="40">
        <f t="shared" si="73"/>
        <v>1241699</v>
      </c>
      <c r="AX40" s="40">
        <f t="shared" si="73"/>
        <v>1060159</v>
      </c>
      <c r="AY40" s="40">
        <f t="shared" si="35"/>
        <v>2672</v>
      </c>
      <c r="AZ40" s="40">
        <f t="shared" si="36"/>
        <v>2187</v>
      </c>
      <c r="BA40" s="40"/>
      <c r="BB40" s="40"/>
      <c r="BC40" s="40"/>
      <c r="BD40" s="40"/>
      <c r="BE40" s="40"/>
      <c r="BF40" s="40"/>
      <c r="BG40" s="40">
        <v>2672</v>
      </c>
      <c r="BH40" s="40">
        <v>2187</v>
      </c>
      <c r="BI40" s="36"/>
      <c r="BJ40" s="36"/>
      <c r="BK40" s="41">
        <f t="shared" si="92"/>
        <v>1234171</v>
      </c>
      <c r="BL40" s="40">
        <f t="shared" si="92"/>
        <v>1053239</v>
      </c>
      <c r="BM40" s="40">
        <f t="shared" si="38"/>
        <v>720748</v>
      </c>
      <c r="BN40" s="40">
        <f t="shared" si="39"/>
        <v>665136</v>
      </c>
      <c r="BO40" s="40">
        <v>756009</v>
      </c>
      <c r="BP40" s="40">
        <v>692935</v>
      </c>
      <c r="BQ40" s="36">
        <v>-35261</v>
      </c>
      <c r="BR40" s="36">
        <v>-27799</v>
      </c>
      <c r="BS40" s="40"/>
      <c r="BT40" s="40"/>
      <c r="BU40" s="40"/>
      <c r="BV40" s="40"/>
      <c r="BW40" s="40"/>
      <c r="BX40" s="40"/>
      <c r="BY40" s="40">
        <f t="shared" si="42"/>
        <v>285</v>
      </c>
      <c r="BZ40" s="40">
        <f t="shared" si="43"/>
        <v>323</v>
      </c>
      <c r="CA40" s="40">
        <v>697</v>
      </c>
      <c r="CB40" s="40">
        <v>725</v>
      </c>
      <c r="CC40" s="37">
        <v>-412</v>
      </c>
      <c r="CD40" s="37">
        <v>-402</v>
      </c>
      <c r="CE40" s="40">
        <v>513138</v>
      </c>
      <c r="CF40" s="40">
        <v>387780</v>
      </c>
      <c r="CG40" s="40">
        <f t="shared" si="45"/>
        <v>0</v>
      </c>
      <c r="CH40" s="40">
        <f t="shared" si="46"/>
        <v>0</v>
      </c>
      <c r="CI40" s="40"/>
      <c r="CJ40" s="40"/>
      <c r="CK40" s="36"/>
      <c r="CL40" s="36"/>
      <c r="CM40" s="40">
        <f t="shared" si="47"/>
        <v>3000</v>
      </c>
      <c r="CN40" s="40">
        <f t="shared" si="48"/>
        <v>3000</v>
      </c>
      <c r="CO40" s="40"/>
      <c r="CP40" s="40"/>
      <c r="CQ40" s="40"/>
      <c r="CR40" s="40"/>
      <c r="CS40" s="40">
        <v>3000</v>
      </c>
      <c r="CT40" s="40">
        <v>3000</v>
      </c>
      <c r="CU40" s="36"/>
      <c r="CV40" s="36"/>
      <c r="CW40" s="40">
        <f t="shared" si="50"/>
        <v>1856</v>
      </c>
      <c r="CX40" s="40">
        <f t="shared" si="51"/>
        <v>1733</v>
      </c>
      <c r="CY40" s="40">
        <v>1730</v>
      </c>
      <c r="CZ40" s="40">
        <v>1607</v>
      </c>
      <c r="DA40" s="40">
        <v>126</v>
      </c>
      <c r="DB40" s="40">
        <v>126</v>
      </c>
      <c r="DC40" s="40"/>
      <c r="DD40" s="40"/>
      <c r="DE40" s="40">
        <f t="shared" si="53"/>
        <v>1359995</v>
      </c>
      <c r="DF40" s="40">
        <f>DH40+FB40</f>
        <v>1169269</v>
      </c>
      <c r="DG40" s="40">
        <f t="shared" si="55"/>
        <v>109128</v>
      </c>
      <c r="DH40" s="40">
        <f t="shared" si="56"/>
        <v>83009</v>
      </c>
      <c r="DI40" s="40">
        <f t="shared" si="74"/>
        <v>84997</v>
      </c>
      <c r="DJ40" s="40">
        <f t="shared" si="75"/>
        <v>54252</v>
      </c>
      <c r="DK40" s="40">
        <v>600</v>
      </c>
      <c r="DL40" s="40">
        <v>5784</v>
      </c>
      <c r="DM40" s="40">
        <v>21678</v>
      </c>
      <c r="DN40" s="40">
        <v>10657</v>
      </c>
      <c r="DO40" s="40">
        <v>47897</v>
      </c>
      <c r="DP40" s="40">
        <v>26740</v>
      </c>
      <c r="DQ40" s="40">
        <v>1307</v>
      </c>
      <c r="DR40" s="40">
        <v>372</v>
      </c>
      <c r="DS40" s="40">
        <v>6982</v>
      </c>
      <c r="DT40" s="40">
        <v>3778</v>
      </c>
      <c r="DU40" s="40"/>
      <c r="DV40" s="40"/>
      <c r="DW40" s="40"/>
      <c r="DX40" s="40"/>
      <c r="DY40" s="40"/>
      <c r="DZ40" s="40"/>
      <c r="EA40" s="40">
        <v>4486</v>
      </c>
      <c r="EB40" s="40">
        <v>4714</v>
      </c>
      <c r="EC40" s="40">
        <v>2047</v>
      </c>
      <c r="ED40" s="40">
        <v>1898</v>
      </c>
      <c r="EE40" s="40"/>
      <c r="EF40" s="40">
        <v>309</v>
      </c>
      <c r="EG40" s="40">
        <f t="shared" si="93"/>
        <v>24131</v>
      </c>
      <c r="EH40" s="37">
        <f t="shared" si="94"/>
        <v>28757</v>
      </c>
      <c r="EI40" s="40">
        <v>434</v>
      </c>
      <c r="EJ40" s="40">
        <v>442</v>
      </c>
      <c r="EK40" s="40"/>
      <c r="EL40" s="40"/>
      <c r="EM40" s="40">
        <v>4056</v>
      </c>
      <c r="EN40" s="40">
        <v>3398</v>
      </c>
      <c r="EO40" s="40">
        <v>5090</v>
      </c>
      <c r="EP40" s="40">
        <v>7520</v>
      </c>
      <c r="EQ40" s="40"/>
      <c r="ER40" s="40"/>
      <c r="ES40" s="40"/>
      <c r="ET40" s="40"/>
      <c r="EU40" s="40"/>
      <c r="EV40" s="40"/>
      <c r="EW40" s="40">
        <v>14405</v>
      </c>
      <c r="EX40" s="40">
        <v>17251</v>
      </c>
      <c r="EY40" s="40">
        <v>146</v>
      </c>
      <c r="EZ40" s="40">
        <v>146</v>
      </c>
      <c r="FA40" s="40">
        <f t="shared" si="59"/>
        <v>1250867</v>
      </c>
      <c r="FB40" s="40">
        <f t="shared" si="60"/>
        <v>1086260</v>
      </c>
      <c r="FC40" s="40">
        <f t="shared" si="76"/>
        <v>1250698</v>
      </c>
      <c r="FD40" s="40">
        <f t="shared" si="77"/>
        <v>1086076</v>
      </c>
      <c r="FE40" s="40">
        <v>655893</v>
      </c>
      <c r="FF40" s="40">
        <v>538912</v>
      </c>
      <c r="FG40" s="40"/>
      <c r="FH40" s="40"/>
      <c r="FI40" s="40">
        <v>60110</v>
      </c>
      <c r="FJ40" s="40">
        <v>116981</v>
      </c>
      <c r="FK40" s="40"/>
      <c r="FL40" s="40"/>
      <c r="FM40" s="40"/>
      <c r="FN40" s="40"/>
      <c r="FO40" s="40"/>
      <c r="FP40" s="40"/>
      <c r="FQ40" s="40"/>
      <c r="FR40" s="40"/>
      <c r="FS40" s="40">
        <v>1530</v>
      </c>
      <c r="FT40" s="40">
        <v>1530</v>
      </c>
      <c r="FU40" s="40"/>
      <c r="FV40" s="40"/>
      <c r="FW40" s="40">
        <v>-31969</v>
      </c>
      <c r="FX40" s="40">
        <v>-14982</v>
      </c>
      <c r="FY40" s="40">
        <v>565134</v>
      </c>
      <c r="FZ40" s="40">
        <v>443635</v>
      </c>
      <c r="GA40" s="40"/>
      <c r="GB40" s="40"/>
      <c r="GC40" s="40">
        <f aca="true" t="shared" si="96" ref="GC40:GD43">GE40+GG40+GI40</f>
        <v>169</v>
      </c>
      <c r="GD40" s="40">
        <f t="shared" si="96"/>
        <v>184</v>
      </c>
      <c r="GE40" s="40"/>
      <c r="GF40" s="40"/>
      <c r="GG40" s="40">
        <v>165</v>
      </c>
      <c r="GH40" s="40">
        <v>165</v>
      </c>
      <c r="GI40" s="40">
        <v>4</v>
      </c>
      <c r="GJ40" s="40">
        <v>19</v>
      </c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60"/>
      <c r="GX40" s="60"/>
      <c r="GY40" s="60"/>
      <c r="GZ40" s="60"/>
      <c r="HA40" s="60"/>
      <c r="HB40" s="31">
        <f t="shared" si="17"/>
        <v>0</v>
      </c>
      <c r="HC40" s="31">
        <f t="shared" si="18"/>
        <v>0</v>
      </c>
      <c r="HD40" s="7"/>
      <c r="HE40" s="7"/>
      <c r="HF40" s="7"/>
    </row>
    <row r="41" spans="1:214" s="8" customFormat="1" ht="17.25" customHeight="1">
      <c r="A41" s="19">
        <v>24</v>
      </c>
      <c r="B41" s="20" t="s">
        <v>209</v>
      </c>
      <c r="C41" s="40">
        <f t="shared" si="19"/>
        <v>144277</v>
      </c>
      <c r="D41" s="40">
        <f t="shared" si="72"/>
        <v>128092</v>
      </c>
      <c r="E41" s="40">
        <f t="shared" si="95"/>
        <v>11429</v>
      </c>
      <c r="F41" s="40">
        <f t="shared" si="95"/>
        <v>8046</v>
      </c>
      <c r="G41" s="40">
        <f t="shared" si="23"/>
        <v>214</v>
      </c>
      <c r="H41" s="40">
        <f t="shared" si="24"/>
        <v>52</v>
      </c>
      <c r="I41" s="40">
        <v>214</v>
      </c>
      <c r="J41" s="40">
        <v>52</v>
      </c>
      <c r="K41" s="40"/>
      <c r="L41" s="40"/>
      <c r="M41" s="40">
        <f t="shared" si="91"/>
        <v>0</v>
      </c>
      <c r="N41" s="40">
        <f t="shared" si="78"/>
        <v>0</v>
      </c>
      <c r="O41" s="40"/>
      <c r="P41" s="40"/>
      <c r="Q41" s="40"/>
      <c r="R41" s="40"/>
      <c r="S41" s="40">
        <f t="shared" si="79"/>
        <v>10053</v>
      </c>
      <c r="T41" s="40">
        <f t="shared" si="80"/>
        <v>4868</v>
      </c>
      <c r="U41" s="40">
        <v>3327</v>
      </c>
      <c r="V41" s="40">
        <v>0</v>
      </c>
      <c r="W41" s="40">
        <v>5311</v>
      </c>
      <c r="X41" s="40">
        <v>4697</v>
      </c>
      <c r="Y41" s="40"/>
      <c r="Z41" s="40"/>
      <c r="AA41" s="40"/>
      <c r="AB41" s="40"/>
      <c r="AC41" s="40">
        <v>2053</v>
      </c>
      <c r="AD41" s="40">
        <v>809</v>
      </c>
      <c r="AE41" s="36">
        <v>-638</v>
      </c>
      <c r="AF41" s="36">
        <v>-638</v>
      </c>
      <c r="AG41" s="40">
        <f t="shared" si="30"/>
        <v>809</v>
      </c>
      <c r="AH41" s="40">
        <f t="shared" si="31"/>
        <v>2713</v>
      </c>
      <c r="AI41" s="40">
        <v>809</v>
      </c>
      <c r="AJ41" s="40">
        <v>2713</v>
      </c>
      <c r="AK41" s="36"/>
      <c r="AL41" s="36"/>
      <c r="AM41" s="40">
        <f t="shared" si="32"/>
        <v>353</v>
      </c>
      <c r="AN41" s="40">
        <f t="shared" si="33"/>
        <v>413</v>
      </c>
      <c r="AO41" s="40">
        <v>279</v>
      </c>
      <c r="AP41" s="40">
        <v>135</v>
      </c>
      <c r="AQ41" s="40">
        <v>0</v>
      </c>
      <c r="AR41" s="40">
        <v>204</v>
      </c>
      <c r="AS41" s="40">
        <v>74</v>
      </c>
      <c r="AT41" s="40">
        <v>74</v>
      </c>
      <c r="AU41" s="40"/>
      <c r="AV41" s="40"/>
      <c r="AW41" s="40">
        <f t="shared" si="73"/>
        <v>132848</v>
      </c>
      <c r="AX41" s="40">
        <f t="shared" si="73"/>
        <v>120046</v>
      </c>
      <c r="AY41" s="40">
        <f t="shared" si="35"/>
        <v>0</v>
      </c>
      <c r="AZ41" s="40">
        <f t="shared" si="36"/>
        <v>0</v>
      </c>
      <c r="BA41" s="40"/>
      <c r="BB41" s="40"/>
      <c r="BC41" s="40"/>
      <c r="BD41" s="40"/>
      <c r="BE41" s="40"/>
      <c r="BF41" s="40"/>
      <c r="BG41" s="40"/>
      <c r="BH41" s="40"/>
      <c r="BI41" s="36"/>
      <c r="BJ41" s="36"/>
      <c r="BK41" s="41">
        <f t="shared" si="92"/>
        <v>101186</v>
      </c>
      <c r="BL41" s="40">
        <f t="shared" si="92"/>
        <v>89194</v>
      </c>
      <c r="BM41" s="40">
        <f t="shared" si="38"/>
        <v>101186</v>
      </c>
      <c r="BN41" s="40">
        <f t="shared" si="39"/>
        <v>57787</v>
      </c>
      <c r="BO41" s="40">
        <v>102845</v>
      </c>
      <c r="BP41" s="40">
        <v>60114</v>
      </c>
      <c r="BQ41" s="36">
        <v>-1659</v>
      </c>
      <c r="BR41" s="36">
        <v>-2327</v>
      </c>
      <c r="BS41" s="40"/>
      <c r="BT41" s="40"/>
      <c r="BU41" s="40"/>
      <c r="BV41" s="40"/>
      <c r="BW41" s="40"/>
      <c r="BX41" s="40"/>
      <c r="BY41" s="40">
        <f t="shared" si="42"/>
        <v>0</v>
      </c>
      <c r="BZ41" s="40">
        <f t="shared" si="43"/>
        <v>0</v>
      </c>
      <c r="CA41" s="40"/>
      <c r="CB41" s="40"/>
      <c r="CC41" s="37"/>
      <c r="CD41" s="37"/>
      <c r="CE41" s="40">
        <v>0</v>
      </c>
      <c r="CF41" s="40">
        <v>31407</v>
      </c>
      <c r="CG41" s="40">
        <f t="shared" si="45"/>
        <v>0</v>
      </c>
      <c r="CH41" s="40">
        <f t="shared" si="46"/>
        <v>0</v>
      </c>
      <c r="CI41" s="40"/>
      <c r="CJ41" s="40"/>
      <c r="CK41" s="36"/>
      <c r="CL41" s="36"/>
      <c r="CM41" s="40">
        <f t="shared" si="47"/>
        <v>0</v>
      </c>
      <c r="CN41" s="40">
        <f t="shared" si="48"/>
        <v>0</v>
      </c>
      <c r="CO41" s="40"/>
      <c r="CP41" s="40"/>
      <c r="CQ41" s="40"/>
      <c r="CR41" s="40"/>
      <c r="CS41" s="40"/>
      <c r="CT41" s="40"/>
      <c r="CU41" s="36"/>
      <c r="CV41" s="36"/>
      <c r="CW41" s="40">
        <f t="shared" si="50"/>
        <v>31662</v>
      </c>
      <c r="CX41" s="40">
        <f t="shared" si="51"/>
        <v>30852</v>
      </c>
      <c r="CY41" s="40">
        <v>31627</v>
      </c>
      <c r="CZ41" s="40">
        <v>30817</v>
      </c>
      <c r="DA41" s="40"/>
      <c r="DB41" s="40"/>
      <c r="DC41" s="40">
        <v>35</v>
      </c>
      <c r="DD41" s="40">
        <v>35</v>
      </c>
      <c r="DE41" s="40">
        <f t="shared" si="53"/>
        <v>144277</v>
      </c>
      <c r="DF41" s="40">
        <f>DH41+FB41</f>
        <v>128091.87590000001</v>
      </c>
      <c r="DG41" s="40">
        <f t="shared" si="55"/>
        <v>114243</v>
      </c>
      <c r="DH41" s="40">
        <f t="shared" si="56"/>
        <v>96357</v>
      </c>
      <c r="DI41" s="40">
        <f t="shared" si="74"/>
        <v>63346</v>
      </c>
      <c r="DJ41" s="40">
        <f t="shared" si="75"/>
        <v>46100</v>
      </c>
      <c r="DK41" s="40">
        <v>8570</v>
      </c>
      <c r="DL41" s="40">
        <v>4670</v>
      </c>
      <c r="DM41" s="40">
        <v>1470</v>
      </c>
      <c r="DN41" s="40">
        <v>1123</v>
      </c>
      <c r="DO41" s="40">
        <v>73</v>
      </c>
      <c r="DP41" s="40">
        <v>53</v>
      </c>
      <c r="DQ41" s="40">
        <v>21709</v>
      </c>
      <c r="DR41" s="40">
        <v>21632</v>
      </c>
      <c r="DS41" s="40">
        <v>724</v>
      </c>
      <c r="DT41" s="40">
        <v>0</v>
      </c>
      <c r="DU41" s="40">
        <v>10723</v>
      </c>
      <c r="DV41" s="40">
        <v>0</v>
      </c>
      <c r="DW41" s="40"/>
      <c r="DX41" s="40"/>
      <c r="DY41" s="40"/>
      <c r="DZ41" s="40"/>
      <c r="EA41" s="40">
        <v>20077</v>
      </c>
      <c r="EB41" s="40">
        <v>18622</v>
      </c>
      <c r="EC41" s="40"/>
      <c r="ED41" s="40"/>
      <c r="EE41" s="40"/>
      <c r="EF41" s="40"/>
      <c r="EG41" s="40">
        <f t="shared" si="93"/>
        <v>50897</v>
      </c>
      <c r="EH41" s="37">
        <f t="shared" si="94"/>
        <v>50257</v>
      </c>
      <c r="EI41" s="40"/>
      <c r="EJ41" s="40"/>
      <c r="EK41" s="40"/>
      <c r="EL41" s="40"/>
      <c r="EM41" s="40">
        <v>20</v>
      </c>
      <c r="EN41" s="40">
        <v>0</v>
      </c>
      <c r="EO41" s="40">
        <v>50877</v>
      </c>
      <c r="EP41" s="40">
        <v>50257</v>
      </c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>
        <f t="shared" si="59"/>
        <v>30034</v>
      </c>
      <c r="FB41" s="40">
        <f t="shared" si="60"/>
        <v>31734.875900000014</v>
      </c>
      <c r="FC41" s="40">
        <f t="shared" si="76"/>
        <v>30034</v>
      </c>
      <c r="FD41" s="40">
        <f t="shared" si="77"/>
        <v>31734.875900000014</v>
      </c>
      <c r="FE41" s="40">
        <v>123052</v>
      </c>
      <c r="FF41" s="40">
        <v>123052</v>
      </c>
      <c r="FG41" s="40"/>
      <c r="FH41" s="40"/>
      <c r="FI41" s="40">
        <v>103072</v>
      </c>
      <c r="FJ41" s="40">
        <v>102394</v>
      </c>
      <c r="FK41" s="40"/>
      <c r="FL41" s="40"/>
      <c r="FM41" s="40">
        <v>0</v>
      </c>
      <c r="FN41" s="40">
        <v>0</v>
      </c>
      <c r="FO41" s="40">
        <v>0</v>
      </c>
      <c r="FP41" s="40">
        <v>-0.1241</v>
      </c>
      <c r="FQ41" s="40"/>
      <c r="FR41" s="40"/>
      <c r="FS41" s="40"/>
      <c r="FT41" s="40"/>
      <c r="FU41" s="40"/>
      <c r="FV41" s="40"/>
      <c r="FW41" s="40">
        <v>-196090</v>
      </c>
      <c r="FX41" s="40">
        <v>-193711</v>
      </c>
      <c r="FY41" s="40"/>
      <c r="FZ41" s="40"/>
      <c r="GA41" s="40"/>
      <c r="GB41" s="40"/>
      <c r="GC41" s="40">
        <f t="shared" si="96"/>
        <v>0</v>
      </c>
      <c r="GD41" s="40">
        <f t="shared" si="96"/>
        <v>0</v>
      </c>
      <c r="GE41" s="40"/>
      <c r="GF41" s="40"/>
      <c r="GG41" s="40"/>
      <c r="GH41" s="40"/>
      <c r="GI41" s="40"/>
      <c r="GJ41" s="40"/>
      <c r="GK41" s="40"/>
      <c r="GL41" s="40"/>
      <c r="GM41" s="40">
        <v>4383</v>
      </c>
      <c r="GN41" s="40"/>
      <c r="GO41" s="40"/>
      <c r="GP41" s="40"/>
      <c r="GQ41" s="40">
        <v>626</v>
      </c>
      <c r="GR41" s="40">
        <v>626</v>
      </c>
      <c r="GS41" s="40">
        <v>332</v>
      </c>
      <c r="GT41" s="40">
        <v>169</v>
      </c>
      <c r="GU41" s="40"/>
      <c r="GV41" s="40"/>
      <c r="GW41" s="60"/>
      <c r="GX41" s="60"/>
      <c r="GY41" s="60"/>
      <c r="GZ41" s="60"/>
      <c r="HA41" s="60"/>
      <c r="HB41" s="31">
        <f t="shared" si="17"/>
        <v>0</v>
      </c>
      <c r="HC41" s="31">
        <f t="shared" si="18"/>
        <v>0.12409999998635612</v>
      </c>
      <c r="HD41" s="7"/>
      <c r="HE41" s="7"/>
      <c r="HF41" s="7"/>
    </row>
    <row r="42" spans="1:214" s="8" customFormat="1" ht="17.25" customHeight="1">
      <c r="A42" s="19">
        <v>25</v>
      </c>
      <c r="B42" s="20" t="s">
        <v>210</v>
      </c>
      <c r="C42" s="40">
        <f t="shared" si="19"/>
        <v>267647</v>
      </c>
      <c r="D42" s="40">
        <f t="shared" si="72"/>
        <v>251946</v>
      </c>
      <c r="E42" s="40">
        <f t="shared" si="95"/>
        <v>76678</v>
      </c>
      <c r="F42" s="40">
        <f t="shared" si="95"/>
        <v>47411</v>
      </c>
      <c r="G42" s="40">
        <f t="shared" si="23"/>
        <v>64257</v>
      </c>
      <c r="H42" s="40">
        <f t="shared" si="24"/>
        <v>36222</v>
      </c>
      <c r="I42" s="40">
        <v>64257</v>
      </c>
      <c r="J42" s="40">
        <v>36222</v>
      </c>
      <c r="K42" s="40"/>
      <c r="L42" s="40"/>
      <c r="M42" s="40">
        <f t="shared" si="91"/>
        <v>0</v>
      </c>
      <c r="N42" s="40">
        <f t="shared" si="78"/>
        <v>0</v>
      </c>
      <c r="O42" s="40"/>
      <c r="P42" s="40"/>
      <c r="Q42" s="40"/>
      <c r="R42" s="40"/>
      <c r="S42" s="40">
        <f t="shared" si="79"/>
        <v>8803</v>
      </c>
      <c r="T42" s="40">
        <f t="shared" si="80"/>
        <v>10612</v>
      </c>
      <c r="U42" s="40">
        <v>6090</v>
      </c>
      <c r="V42" s="40">
        <v>7349</v>
      </c>
      <c r="W42" s="40">
        <v>741</v>
      </c>
      <c r="X42" s="40">
        <v>1126</v>
      </c>
      <c r="Y42" s="40">
        <v>440</v>
      </c>
      <c r="Z42" s="40">
        <v>440</v>
      </c>
      <c r="AA42" s="40"/>
      <c r="AB42" s="40"/>
      <c r="AC42" s="40">
        <v>1798</v>
      </c>
      <c r="AD42" s="40">
        <v>2091</v>
      </c>
      <c r="AE42" s="36">
        <v>-266</v>
      </c>
      <c r="AF42" s="36">
        <v>-394</v>
      </c>
      <c r="AG42" s="40">
        <f t="shared" si="30"/>
        <v>0</v>
      </c>
      <c r="AH42" s="40">
        <f t="shared" si="31"/>
        <v>0</v>
      </c>
      <c r="AI42" s="40"/>
      <c r="AJ42" s="40"/>
      <c r="AK42" s="36"/>
      <c r="AL42" s="36"/>
      <c r="AM42" s="40">
        <f t="shared" si="32"/>
        <v>3618</v>
      </c>
      <c r="AN42" s="40">
        <f t="shared" si="33"/>
        <v>577</v>
      </c>
      <c r="AO42" s="40">
        <v>1960</v>
      </c>
      <c r="AP42" s="40">
        <v>238</v>
      </c>
      <c r="AQ42" s="40">
        <v>106</v>
      </c>
      <c r="AR42" s="40"/>
      <c r="AS42" s="40">
        <v>1201</v>
      </c>
      <c r="AT42" s="40"/>
      <c r="AU42" s="40">
        <v>351</v>
      </c>
      <c r="AV42" s="40">
        <v>339</v>
      </c>
      <c r="AW42" s="40">
        <f t="shared" si="73"/>
        <v>190969</v>
      </c>
      <c r="AX42" s="40">
        <f t="shared" si="73"/>
        <v>204535</v>
      </c>
      <c r="AY42" s="40">
        <f t="shared" si="35"/>
        <v>0</v>
      </c>
      <c r="AZ42" s="40">
        <f t="shared" si="36"/>
        <v>0</v>
      </c>
      <c r="BA42" s="40"/>
      <c r="BB42" s="40"/>
      <c r="BC42" s="40"/>
      <c r="BD42" s="40"/>
      <c r="BE42" s="40"/>
      <c r="BF42" s="40"/>
      <c r="BG42" s="40"/>
      <c r="BH42" s="40"/>
      <c r="BI42" s="36"/>
      <c r="BJ42" s="36"/>
      <c r="BK42" s="41">
        <f t="shared" si="92"/>
        <v>150378</v>
      </c>
      <c r="BL42" s="40">
        <f t="shared" si="92"/>
        <v>167925</v>
      </c>
      <c r="BM42" s="40">
        <f t="shared" si="38"/>
        <v>149793</v>
      </c>
      <c r="BN42" s="40">
        <f t="shared" si="39"/>
        <v>167307</v>
      </c>
      <c r="BO42" s="40">
        <v>270326</v>
      </c>
      <c r="BP42" s="40">
        <v>271050</v>
      </c>
      <c r="BQ42" s="36">
        <v>-120533</v>
      </c>
      <c r="BR42" s="36">
        <v>-103743</v>
      </c>
      <c r="BS42" s="40"/>
      <c r="BT42" s="40"/>
      <c r="BU42" s="40"/>
      <c r="BV42" s="40"/>
      <c r="BW42" s="40"/>
      <c r="BX42" s="40"/>
      <c r="BY42" s="40">
        <f t="shared" si="42"/>
        <v>29</v>
      </c>
      <c r="BZ42" s="40">
        <f t="shared" si="43"/>
        <v>62</v>
      </c>
      <c r="CA42" s="40">
        <v>379</v>
      </c>
      <c r="CB42" s="40">
        <v>487</v>
      </c>
      <c r="CC42" s="37">
        <v>-350</v>
      </c>
      <c r="CD42" s="37">
        <v>-425</v>
      </c>
      <c r="CE42" s="40">
        <v>556</v>
      </c>
      <c r="CF42" s="40">
        <v>556</v>
      </c>
      <c r="CG42" s="40">
        <f t="shared" si="45"/>
        <v>32712</v>
      </c>
      <c r="CH42" s="40">
        <f t="shared" si="46"/>
        <v>34989</v>
      </c>
      <c r="CI42" s="40">
        <v>47442</v>
      </c>
      <c r="CJ42" s="40">
        <v>47458</v>
      </c>
      <c r="CK42" s="36">
        <v>-14730</v>
      </c>
      <c r="CL42" s="36">
        <v>-12469</v>
      </c>
      <c r="CM42" s="40">
        <f t="shared" si="47"/>
        <v>535</v>
      </c>
      <c r="CN42" s="40">
        <f t="shared" si="48"/>
        <v>685</v>
      </c>
      <c r="CO42" s="40">
        <v>85</v>
      </c>
      <c r="CP42" s="40">
        <v>85</v>
      </c>
      <c r="CQ42" s="40">
        <v>450</v>
      </c>
      <c r="CR42" s="40">
        <v>600</v>
      </c>
      <c r="CS42" s="40"/>
      <c r="CT42" s="40"/>
      <c r="CU42" s="36"/>
      <c r="CV42" s="36"/>
      <c r="CW42" s="40">
        <f t="shared" si="50"/>
        <v>7344</v>
      </c>
      <c r="CX42" s="40">
        <f t="shared" si="51"/>
        <v>936</v>
      </c>
      <c r="CY42" s="40">
        <v>1344</v>
      </c>
      <c r="CZ42" s="40">
        <v>936</v>
      </c>
      <c r="DA42" s="40"/>
      <c r="DB42" s="40"/>
      <c r="DC42" s="40">
        <v>6000</v>
      </c>
      <c r="DD42" s="40"/>
      <c r="DE42" s="40">
        <f t="shared" si="53"/>
        <v>267647</v>
      </c>
      <c r="DF42" s="40">
        <f>DH42+FB42</f>
        <v>251946</v>
      </c>
      <c r="DG42" s="40">
        <f t="shared" si="55"/>
        <v>81689</v>
      </c>
      <c r="DH42" s="40">
        <f t="shared" si="56"/>
        <v>64057</v>
      </c>
      <c r="DI42" s="40">
        <f t="shared" si="74"/>
        <v>60300</v>
      </c>
      <c r="DJ42" s="40">
        <f t="shared" si="75"/>
        <v>48028</v>
      </c>
      <c r="DK42" s="40">
        <v>6200</v>
      </c>
      <c r="DL42" s="40">
        <v>3400</v>
      </c>
      <c r="DM42" s="40">
        <v>3104</v>
      </c>
      <c r="DN42" s="40">
        <v>1258</v>
      </c>
      <c r="DO42" s="40">
        <v>612</v>
      </c>
      <c r="DP42" s="40">
        <v>15</v>
      </c>
      <c r="DQ42" s="40">
        <v>2962</v>
      </c>
      <c r="DR42" s="40">
        <v>2739</v>
      </c>
      <c r="DS42" s="40">
        <v>6019</v>
      </c>
      <c r="DT42" s="40">
        <v>3789</v>
      </c>
      <c r="DU42" s="40"/>
      <c r="DV42" s="40"/>
      <c r="DW42" s="40"/>
      <c r="DX42" s="40"/>
      <c r="DY42" s="40"/>
      <c r="DZ42" s="40"/>
      <c r="EA42" s="40">
        <v>36316</v>
      </c>
      <c r="EB42" s="40">
        <v>36592</v>
      </c>
      <c r="EC42" s="40"/>
      <c r="ED42" s="40"/>
      <c r="EE42" s="40">
        <v>5087</v>
      </c>
      <c r="EF42" s="40">
        <v>235</v>
      </c>
      <c r="EG42" s="40">
        <f t="shared" si="93"/>
        <v>21389</v>
      </c>
      <c r="EH42" s="37">
        <f t="shared" si="94"/>
        <v>16029</v>
      </c>
      <c r="EI42" s="40"/>
      <c r="EJ42" s="40"/>
      <c r="EK42" s="40"/>
      <c r="EL42" s="40"/>
      <c r="EM42" s="40">
        <v>9213</v>
      </c>
      <c r="EN42" s="40">
        <v>7503</v>
      </c>
      <c r="EO42" s="40">
        <v>11197</v>
      </c>
      <c r="EP42" s="40">
        <v>7100</v>
      </c>
      <c r="EQ42" s="40"/>
      <c r="ER42" s="40"/>
      <c r="ES42" s="40"/>
      <c r="ET42" s="40"/>
      <c r="EU42" s="40"/>
      <c r="EV42" s="40"/>
      <c r="EW42" s="40"/>
      <c r="EX42" s="40"/>
      <c r="EY42" s="40">
        <v>979</v>
      </c>
      <c r="EZ42" s="40">
        <v>1426</v>
      </c>
      <c r="FA42" s="40">
        <f t="shared" si="59"/>
        <v>185958</v>
      </c>
      <c r="FB42" s="40">
        <f t="shared" si="60"/>
        <v>187889</v>
      </c>
      <c r="FC42" s="40">
        <f t="shared" si="76"/>
        <v>136035</v>
      </c>
      <c r="FD42" s="40">
        <f t="shared" si="77"/>
        <v>134461</v>
      </c>
      <c r="FE42" s="40">
        <v>129631</v>
      </c>
      <c r="FF42" s="40">
        <v>119795</v>
      </c>
      <c r="FG42" s="40"/>
      <c r="FH42" s="40"/>
      <c r="FI42" s="40">
        <v>358</v>
      </c>
      <c r="FJ42" s="40">
        <v>105</v>
      </c>
      <c r="FK42" s="40"/>
      <c r="FL42" s="40"/>
      <c r="FM42" s="40"/>
      <c r="FN42" s="40"/>
      <c r="FO42" s="40"/>
      <c r="FP42" s="40"/>
      <c r="FQ42" s="40">
        <v>3610</v>
      </c>
      <c r="FR42" s="40"/>
      <c r="FS42" s="40">
        <v>1211</v>
      </c>
      <c r="FT42" s="40">
        <v>674</v>
      </c>
      <c r="FU42" s="40"/>
      <c r="FV42" s="40"/>
      <c r="FW42" s="40">
        <v>566</v>
      </c>
      <c r="FX42" s="40">
        <v>12954</v>
      </c>
      <c r="FY42" s="40">
        <v>659</v>
      </c>
      <c r="FZ42" s="40">
        <v>933</v>
      </c>
      <c r="GA42" s="40"/>
      <c r="GB42" s="40"/>
      <c r="GC42" s="40">
        <f t="shared" si="96"/>
        <v>49923</v>
      </c>
      <c r="GD42" s="40">
        <f t="shared" si="96"/>
        <v>53428</v>
      </c>
      <c r="GE42" s="40"/>
      <c r="GF42" s="40"/>
      <c r="GG42" s="40">
        <v>49923</v>
      </c>
      <c r="GH42" s="40">
        <v>53428</v>
      </c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60"/>
      <c r="GX42" s="60"/>
      <c r="GY42" s="60"/>
      <c r="GZ42" s="60"/>
      <c r="HA42" s="60"/>
      <c r="HB42" s="31">
        <f t="shared" si="17"/>
        <v>0</v>
      </c>
      <c r="HC42" s="31">
        <f t="shared" si="18"/>
        <v>0</v>
      </c>
      <c r="HD42" s="7"/>
      <c r="HE42" s="7"/>
      <c r="HF42" s="7"/>
    </row>
    <row r="43" spans="1:214" s="8" customFormat="1" ht="17.25" customHeight="1">
      <c r="A43" s="19">
        <v>26</v>
      </c>
      <c r="B43" s="20" t="s">
        <v>211</v>
      </c>
      <c r="C43" s="40">
        <f t="shared" si="19"/>
        <v>266805</v>
      </c>
      <c r="D43" s="40">
        <f t="shared" si="72"/>
        <v>206781</v>
      </c>
      <c r="E43" s="40">
        <f t="shared" si="95"/>
        <v>255332</v>
      </c>
      <c r="F43" s="40">
        <f t="shared" si="95"/>
        <v>200182</v>
      </c>
      <c r="G43" s="40">
        <f t="shared" si="23"/>
        <v>25492</v>
      </c>
      <c r="H43" s="40">
        <f t="shared" si="24"/>
        <v>21696</v>
      </c>
      <c r="I43" s="40">
        <v>25492</v>
      </c>
      <c r="J43" s="40">
        <v>21696</v>
      </c>
      <c r="K43" s="40"/>
      <c r="L43" s="40"/>
      <c r="M43" s="40">
        <f t="shared" si="91"/>
        <v>0</v>
      </c>
      <c r="N43" s="40">
        <f t="shared" si="78"/>
        <v>0</v>
      </c>
      <c r="O43" s="40"/>
      <c r="P43" s="40"/>
      <c r="Q43" s="40"/>
      <c r="R43" s="40"/>
      <c r="S43" s="40">
        <f t="shared" si="79"/>
        <v>214306</v>
      </c>
      <c r="T43" s="40">
        <f t="shared" si="80"/>
        <v>164468</v>
      </c>
      <c r="U43" s="40">
        <v>186257</v>
      </c>
      <c r="V43" s="40">
        <v>140957</v>
      </c>
      <c r="W43" s="40">
        <v>12053</v>
      </c>
      <c r="X43" s="40">
        <v>8388</v>
      </c>
      <c r="Y43" s="40"/>
      <c r="Z43" s="40"/>
      <c r="AA43" s="40"/>
      <c r="AB43" s="40"/>
      <c r="AC43" s="40">
        <v>16286</v>
      </c>
      <c r="AD43" s="40">
        <v>15413</v>
      </c>
      <c r="AE43" s="36">
        <v>-290</v>
      </c>
      <c r="AF43" s="36">
        <v>-290</v>
      </c>
      <c r="AG43" s="40">
        <f t="shared" si="30"/>
        <v>14685</v>
      </c>
      <c r="AH43" s="40">
        <f t="shared" si="31"/>
        <v>13464</v>
      </c>
      <c r="AI43" s="40">
        <v>14685</v>
      </c>
      <c r="AJ43" s="40">
        <v>13464</v>
      </c>
      <c r="AK43" s="36"/>
      <c r="AL43" s="36"/>
      <c r="AM43" s="40">
        <f t="shared" si="32"/>
        <v>849</v>
      </c>
      <c r="AN43" s="40">
        <f t="shared" si="33"/>
        <v>554</v>
      </c>
      <c r="AO43" s="40"/>
      <c r="AP43" s="40"/>
      <c r="AQ43" s="40"/>
      <c r="AR43" s="40"/>
      <c r="AS43" s="40">
        <v>748</v>
      </c>
      <c r="AT43" s="40"/>
      <c r="AU43" s="40">
        <v>101</v>
      </c>
      <c r="AV43" s="40">
        <v>554</v>
      </c>
      <c r="AW43" s="40">
        <f t="shared" si="73"/>
        <v>11473</v>
      </c>
      <c r="AX43" s="40">
        <f t="shared" si="73"/>
        <v>6599</v>
      </c>
      <c r="AY43" s="40">
        <f t="shared" si="35"/>
        <v>0</v>
      </c>
      <c r="AZ43" s="40">
        <f t="shared" si="36"/>
        <v>0</v>
      </c>
      <c r="BA43" s="40"/>
      <c r="BB43" s="40"/>
      <c r="BC43" s="40"/>
      <c r="BD43" s="40"/>
      <c r="BE43" s="40"/>
      <c r="BF43" s="40"/>
      <c r="BG43" s="40"/>
      <c r="BH43" s="40"/>
      <c r="BI43" s="36"/>
      <c r="BJ43" s="36"/>
      <c r="BK43" s="41">
        <f t="shared" si="92"/>
        <v>2453</v>
      </c>
      <c r="BL43" s="40">
        <f t="shared" si="92"/>
        <v>4512</v>
      </c>
      <c r="BM43" s="40">
        <f t="shared" si="38"/>
        <v>1115</v>
      </c>
      <c r="BN43" s="40">
        <f t="shared" si="39"/>
        <v>1344</v>
      </c>
      <c r="BO43" s="40">
        <v>3099</v>
      </c>
      <c r="BP43" s="40">
        <v>3162</v>
      </c>
      <c r="BQ43" s="36">
        <v>-1984</v>
      </c>
      <c r="BR43" s="36">
        <v>-1818</v>
      </c>
      <c r="BS43" s="40"/>
      <c r="BT43" s="40"/>
      <c r="BU43" s="40"/>
      <c r="BV43" s="40"/>
      <c r="BW43" s="40"/>
      <c r="BX43" s="40"/>
      <c r="BY43" s="40">
        <f t="shared" si="42"/>
        <v>0</v>
      </c>
      <c r="BZ43" s="40">
        <f t="shared" si="43"/>
        <v>0</v>
      </c>
      <c r="CA43" s="40"/>
      <c r="CB43" s="40"/>
      <c r="CC43" s="37"/>
      <c r="CD43" s="37"/>
      <c r="CE43" s="40">
        <v>1338</v>
      </c>
      <c r="CF43" s="40">
        <v>3168</v>
      </c>
      <c r="CG43" s="40">
        <f t="shared" si="45"/>
        <v>8938</v>
      </c>
      <c r="CH43" s="40">
        <f t="shared" si="46"/>
        <v>2087</v>
      </c>
      <c r="CI43" s="40">
        <v>11046</v>
      </c>
      <c r="CJ43" s="40">
        <v>3578</v>
      </c>
      <c r="CK43" s="36">
        <v>-2108</v>
      </c>
      <c r="CL43" s="36">
        <v>-1491</v>
      </c>
      <c r="CM43" s="40">
        <f t="shared" si="47"/>
        <v>0</v>
      </c>
      <c r="CN43" s="40">
        <f t="shared" si="48"/>
        <v>0</v>
      </c>
      <c r="CO43" s="40"/>
      <c r="CP43" s="40"/>
      <c r="CQ43" s="40"/>
      <c r="CR43" s="40"/>
      <c r="CS43" s="40"/>
      <c r="CT43" s="40"/>
      <c r="CU43" s="36"/>
      <c r="CV43" s="36"/>
      <c r="CW43" s="40">
        <f t="shared" si="50"/>
        <v>82</v>
      </c>
      <c r="CX43" s="40">
        <f t="shared" si="51"/>
        <v>0</v>
      </c>
      <c r="CY43" s="40">
        <v>82</v>
      </c>
      <c r="CZ43" s="40"/>
      <c r="DA43" s="40"/>
      <c r="DB43" s="40"/>
      <c r="DC43" s="40"/>
      <c r="DD43" s="40"/>
      <c r="DE43" s="40">
        <f t="shared" si="53"/>
        <v>266805</v>
      </c>
      <c r="DF43" s="40">
        <f>DH43+FB43</f>
        <v>206781</v>
      </c>
      <c r="DG43" s="40">
        <f t="shared" si="55"/>
        <v>226320</v>
      </c>
      <c r="DH43" s="40">
        <f t="shared" si="56"/>
        <v>162225</v>
      </c>
      <c r="DI43" s="40">
        <f t="shared" si="74"/>
        <v>161054</v>
      </c>
      <c r="DJ43" s="40">
        <f t="shared" si="75"/>
        <v>128898</v>
      </c>
      <c r="DK43" s="40"/>
      <c r="DL43" s="40">
        <v>5379</v>
      </c>
      <c r="DM43" s="40">
        <v>54229</v>
      </c>
      <c r="DN43" s="40">
        <v>62255</v>
      </c>
      <c r="DO43" s="40">
        <v>3917</v>
      </c>
      <c r="DP43" s="40">
        <v>4338</v>
      </c>
      <c r="DQ43" s="40">
        <v>3356</v>
      </c>
      <c r="DR43" s="40">
        <v>5176</v>
      </c>
      <c r="DS43" s="40">
        <v>2336</v>
      </c>
      <c r="DT43" s="40">
        <v>2138</v>
      </c>
      <c r="DU43" s="40">
        <v>84315</v>
      </c>
      <c r="DV43" s="40">
        <v>39332</v>
      </c>
      <c r="DW43" s="40"/>
      <c r="DX43" s="40"/>
      <c r="DY43" s="40"/>
      <c r="DZ43" s="40"/>
      <c r="EA43" s="40">
        <v>16724</v>
      </c>
      <c r="EB43" s="40">
        <v>12420</v>
      </c>
      <c r="EC43" s="40"/>
      <c r="ED43" s="40"/>
      <c r="EE43" s="40">
        <v>-3823</v>
      </c>
      <c r="EF43" s="40">
        <v>-2140</v>
      </c>
      <c r="EG43" s="40">
        <f t="shared" si="93"/>
        <v>65266</v>
      </c>
      <c r="EH43" s="37">
        <f t="shared" si="94"/>
        <v>33327</v>
      </c>
      <c r="EI43" s="40"/>
      <c r="EJ43" s="40"/>
      <c r="EK43" s="40"/>
      <c r="EL43" s="40"/>
      <c r="EM43" s="40">
        <v>31746</v>
      </c>
      <c r="EN43" s="40">
        <v>31796</v>
      </c>
      <c r="EO43" s="40">
        <v>33420</v>
      </c>
      <c r="EP43" s="40"/>
      <c r="EQ43" s="40"/>
      <c r="ER43" s="40"/>
      <c r="ES43" s="40"/>
      <c r="ET43" s="40"/>
      <c r="EU43" s="40"/>
      <c r="EV43" s="40"/>
      <c r="EW43" s="40"/>
      <c r="EX43" s="40">
        <v>1531</v>
      </c>
      <c r="EY43" s="40">
        <v>100</v>
      </c>
      <c r="EZ43" s="40"/>
      <c r="FA43" s="40">
        <f t="shared" si="59"/>
        <v>40485</v>
      </c>
      <c r="FB43" s="40">
        <f t="shared" si="60"/>
        <v>44556</v>
      </c>
      <c r="FC43" s="40">
        <f t="shared" si="76"/>
        <v>62987</v>
      </c>
      <c r="FD43" s="40">
        <f t="shared" si="77"/>
        <v>57812</v>
      </c>
      <c r="FE43" s="40">
        <v>45587</v>
      </c>
      <c r="FF43" s="40">
        <v>39595</v>
      </c>
      <c r="FG43" s="40">
        <v>331</v>
      </c>
      <c r="FH43" s="40">
        <v>331</v>
      </c>
      <c r="FI43" s="40"/>
      <c r="FJ43" s="40"/>
      <c r="FK43" s="40"/>
      <c r="FL43" s="40"/>
      <c r="FM43" s="40"/>
      <c r="FN43" s="40"/>
      <c r="FO43" s="40"/>
      <c r="FP43" s="40"/>
      <c r="FQ43" s="40">
        <f>1130+1199+1</f>
        <v>2330</v>
      </c>
      <c r="FR43" s="40">
        <f>1130+578</f>
        <v>1708</v>
      </c>
      <c r="FS43" s="40"/>
      <c r="FT43" s="40"/>
      <c r="FU43" s="40"/>
      <c r="FV43" s="40"/>
      <c r="FW43" s="40">
        <v>14739</v>
      </c>
      <c r="FX43" s="40">
        <v>16178</v>
      </c>
      <c r="FY43" s="40"/>
      <c r="FZ43" s="40"/>
      <c r="GA43" s="40"/>
      <c r="GB43" s="40"/>
      <c r="GC43" s="36">
        <f t="shared" si="96"/>
        <v>-22502</v>
      </c>
      <c r="GD43" s="36">
        <f t="shared" si="96"/>
        <v>-13256</v>
      </c>
      <c r="GE43" s="36"/>
      <c r="GF43" s="36"/>
      <c r="GG43" s="36">
        <v>-22502</v>
      </c>
      <c r="GH43" s="36">
        <v>-13256</v>
      </c>
      <c r="GI43" s="40"/>
      <c r="GJ43" s="40"/>
      <c r="GK43" s="40"/>
      <c r="GL43" s="40"/>
      <c r="GM43" s="40"/>
      <c r="GN43" s="40"/>
      <c r="GO43" s="40"/>
      <c r="GP43" s="40"/>
      <c r="GQ43" s="40">
        <v>471</v>
      </c>
      <c r="GR43" s="40">
        <v>471</v>
      </c>
      <c r="GS43" s="40"/>
      <c r="GT43" s="40"/>
      <c r="GU43" s="40"/>
      <c r="GV43" s="40"/>
      <c r="GW43" s="60"/>
      <c r="GX43" s="60"/>
      <c r="GY43" s="60"/>
      <c r="GZ43" s="60"/>
      <c r="HA43" s="60"/>
      <c r="HB43" s="31">
        <f t="shared" si="17"/>
        <v>0</v>
      </c>
      <c r="HC43" s="31">
        <f t="shared" si="18"/>
        <v>0</v>
      </c>
      <c r="HD43" s="7"/>
      <c r="HE43" s="7"/>
      <c r="HF43" s="7"/>
    </row>
    <row r="44" spans="1:211" s="12" customFormat="1" ht="17.25" customHeight="1">
      <c r="A44" s="21">
        <v>27</v>
      </c>
      <c r="B44" s="22" t="s">
        <v>212</v>
      </c>
      <c r="C44" s="37">
        <f t="shared" si="19"/>
        <v>441269</v>
      </c>
      <c r="D44" s="37">
        <f t="shared" si="72"/>
        <v>414397</v>
      </c>
      <c r="E44" s="37">
        <f aca="true" t="shared" si="97" ref="E44:E51">G44+M44+S44+AG44+AM44</f>
        <v>343118</v>
      </c>
      <c r="F44" s="37">
        <f t="shared" si="22"/>
        <v>352502</v>
      </c>
      <c r="G44" s="37">
        <f t="shared" si="23"/>
        <v>279480</v>
      </c>
      <c r="H44" s="37">
        <f t="shared" si="24"/>
        <v>30639</v>
      </c>
      <c r="I44" s="37">
        <v>5733</v>
      </c>
      <c r="J44" s="37">
        <v>30639</v>
      </c>
      <c r="K44" s="37">
        <v>273747</v>
      </c>
      <c r="L44" s="37">
        <v>0</v>
      </c>
      <c r="M44" s="37">
        <f aca="true" t="shared" si="98" ref="M44:M51">SUM(O44+Q44)</f>
        <v>30000</v>
      </c>
      <c r="N44" s="37">
        <f t="shared" si="78"/>
        <v>284144</v>
      </c>
      <c r="O44" s="37">
        <v>30000</v>
      </c>
      <c r="P44" s="37">
        <v>284144</v>
      </c>
      <c r="Q44" s="37"/>
      <c r="R44" s="37"/>
      <c r="S44" s="37">
        <f t="shared" si="79"/>
        <v>31810</v>
      </c>
      <c r="T44" s="37">
        <f t="shared" si="80"/>
        <v>36673</v>
      </c>
      <c r="U44" s="37">
        <v>6146</v>
      </c>
      <c r="V44" s="37">
        <v>31327</v>
      </c>
      <c r="W44" s="37">
        <v>21258</v>
      </c>
      <c r="X44" s="37">
        <v>419</v>
      </c>
      <c r="Y44" s="37"/>
      <c r="Z44" s="37"/>
      <c r="AA44" s="37"/>
      <c r="AB44" s="37"/>
      <c r="AC44" s="37">
        <v>4634</v>
      </c>
      <c r="AD44" s="37">
        <v>4927</v>
      </c>
      <c r="AE44" s="36">
        <v>-228</v>
      </c>
      <c r="AF44" s="36"/>
      <c r="AG44" s="37">
        <f aca="true" t="shared" si="99" ref="AG44:AG51">SUM(AI44+AK44)</f>
        <v>0</v>
      </c>
      <c r="AH44" s="37">
        <f aca="true" t="shared" si="100" ref="AH44:AH51">SUM(AJ44+AL44)</f>
        <v>0</v>
      </c>
      <c r="AI44" s="37"/>
      <c r="AJ44" s="37"/>
      <c r="AK44" s="36"/>
      <c r="AL44" s="36"/>
      <c r="AM44" s="37">
        <f aca="true" t="shared" si="101" ref="AM44:AM51">SUM(AO44+AQ44+AS44+AU44)</f>
        <v>1828</v>
      </c>
      <c r="AN44" s="37">
        <f aca="true" t="shared" si="102" ref="AN44:AN51">SUM(AP44+AR44+AT44+AV44)</f>
        <v>1046</v>
      </c>
      <c r="AO44" s="37"/>
      <c r="AP44" s="37"/>
      <c r="AQ44" s="37"/>
      <c r="AR44" s="37"/>
      <c r="AS44" s="37">
        <v>147</v>
      </c>
      <c r="AT44" s="37">
        <v>10</v>
      </c>
      <c r="AU44" s="37">
        <v>1681</v>
      </c>
      <c r="AV44" s="37">
        <v>1036</v>
      </c>
      <c r="AW44" s="37">
        <f t="shared" si="73"/>
        <v>98151</v>
      </c>
      <c r="AX44" s="37">
        <f t="shared" si="73"/>
        <v>61895</v>
      </c>
      <c r="AY44" s="37">
        <f aca="true" t="shared" si="103" ref="AY44:AY51">SUM(BA44,BC44,BE44,BG44,BI44)</f>
        <v>0</v>
      </c>
      <c r="AZ44" s="37">
        <f aca="true" t="shared" si="104" ref="AZ44:AZ51">SUM(BB44,BD44,BF44,BH44,BJ44)</f>
        <v>0</v>
      </c>
      <c r="BA44" s="37"/>
      <c r="BB44" s="37"/>
      <c r="BC44" s="37"/>
      <c r="BD44" s="37"/>
      <c r="BE44" s="37"/>
      <c r="BF44" s="37"/>
      <c r="BG44" s="37"/>
      <c r="BH44" s="37"/>
      <c r="BI44" s="36"/>
      <c r="BJ44" s="36"/>
      <c r="BK44" s="37">
        <f>BM44+BS44+BY44+CE44</f>
        <v>86376</v>
      </c>
      <c r="BL44" s="37">
        <f>BN44+BT44+BZ44+CF44</f>
        <v>50050</v>
      </c>
      <c r="BM44" s="37">
        <f aca="true" t="shared" si="105" ref="BM44:BM51">BO44+BQ44</f>
        <v>3785</v>
      </c>
      <c r="BN44" s="37">
        <f aca="true" t="shared" si="106" ref="BN44:BN51">BP44+BR44</f>
        <v>10474</v>
      </c>
      <c r="BO44" s="37">
        <v>44438</v>
      </c>
      <c r="BP44" s="37">
        <v>56813</v>
      </c>
      <c r="BQ44" s="36">
        <v>-40653</v>
      </c>
      <c r="BR44" s="36">
        <v>-46339</v>
      </c>
      <c r="BS44" s="36">
        <f>BU44+BW44</f>
        <v>0</v>
      </c>
      <c r="BT44" s="36">
        <f>BV44+BX44</f>
        <v>0</v>
      </c>
      <c r="BU44" s="37"/>
      <c r="BV44" s="37"/>
      <c r="BW44" s="37"/>
      <c r="BX44" s="37"/>
      <c r="BY44" s="37">
        <f t="shared" si="42"/>
        <v>194</v>
      </c>
      <c r="BZ44" s="37">
        <f t="shared" si="43"/>
        <v>314</v>
      </c>
      <c r="CA44" s="37">
        <v>486</v>
      </c>
      <c r="CB44" s="37">
        <v>472</v>
      </c>
      <c r="CC44" s="37">
        <v>-292</v>
      </c>
      <c r="CD44" s="37">
        <v>-158</v>
      </c>
      <c r="CE44" s="37">
        <v>82397</v>
      </c>
      <c r="CF44" s="37">
        <v>39262</v>
      </c>
      <c r="CG44" s="37">
        <f t="shared" si="45"/>
        <v>10369</v>
      </c>
      <c r="CH44" s="37">
        <f t="shared" si="46"/>
        <v>11545</v>
      </c>
      <c r="CI44" s="37">
        <v>46825</v>
      </c>
      <c r="CJ44" s="37">
        <v>45605</v>
      </c>
      <c r="CK44" s="36">
        <v>-36456</v>
      </c>
      <c r="CL44" s="36">
        <v>-34060</v>
      </c>
      <c r="CM44" s="37">
        <f t="shared" si="47"/>
        <v>0</v>
      </c>
      <c r="CN44" s="37">
        <f t="shared" si="48"/>
        <v>0</v>
      </c>
      <c r="CO44" s="37"/>
      <c r="CP44" s="37"/>
      <c r="CQ44" s="37"/>
      <c r="CR44" s="37"/>
      <c r="CS44" s="37"/>
      <c r="CT44" s="37"/>
      <c r="CU44" s="36"/>
      <c r="CV44" s="36"/>
      <c r="CW44" s="37">
        <f t="shared" si="50"/>
        <v>1406</v>
      </c>
      <c r="CX44" s="37">
        <f t="shared" si="51"/>
        <v>300</v>
      </c>
      <c r="CY44" s="37">
        <v>1106</v>
      </c>
      <c r="CZ44" s="37"/>
      <c r="DA44" s="37"/>
      <c r="DB44" s="37"/>
      <c r="DC44" s="37">
        <v>300</v>
      </c>
      <c r="DD44" s="37">
        <v>300</v>
      </c>
      <c r="DE44" s="37">
        <f t="shared" si="53"/>
        <v>441269</v>
      </c>
      <c r="DF44" s="37">
        <f t="shared" si="54"/>
        <v>414397</v>
      </c>
      <c r="DG44" s="37">
        <f t="shared" si="55"/>
        <v>133242</v>
      </c>
      <c r="DH44" s="37">
        <f t="shared" si="56"/>
        <v>159456</v>
      </c>
      <c r="DI44" s="37">
        <f t="shared" si="74"/>
        <v>78259</v>
      </c>
      <c r="DJ44" s="37">
        <f t="shared" si="75"/>
        <v>114890</v>
      </c>
      <c r="DK44" s="37"/>
      <c r="DL44" s="37"/>
      <c r="DM44" s="37">
        <v>549</v>
      </c>
      <c r="DN44" s="37">
        <v>1139</v>
      </c>
      <c r="DO44" s="37">
        <v>906</v>
      </c>
      <c r="DP44" s="37"/>
      <c r="DQ44" s="37">
        <v>2925</v>
      </c>
      <c r="DR44" s="37">
        <v>10148</v>
      </c>
      <c r="DS44" s="37">
        <v>12322</v>
      </c>
      <c r="DT44" s="37">
        <v>12841</v>
      </c>
      <c r="DU44" s="37">
        <v>10037</v>
      </c>
      <c r="DV44" s="37">
        <v>38</v>
      </c>
      <c r="DW44" s="37"/>
      <c r="DX44" s="37"/>
      <c r="DY44" s="37"/>
      <c r="DZ44" s="37"/>
      <c r="EA44" s="37">
        <v>47255</v>
      </c>
      <c r="EB44" s="37">
        <v>80806</v>
      </c>
      <c r="EC44" s="37"/>
      <c r="ED44" s="37"/>
      <c r="EE44" s="37">
        <v>4265</v>
      </c>
      <c r="EF44" s="37">
        <v>9918</v>
      </c>
      <c r="EG44" s="40">
        <f t="shared" si="93"/>
        <v>54983</v>
      </c>
      <c r="EH44" s="37">
        <f t="shared" si="94"/>
        <v>44566</v>
      </c>
      <c r="EI44" s="37"/>
      <c r="EJ44" s="37"/>
      <c r="EK44" s="37"/>
      <c r="EL44" s="37"/>
      <c r="EM44" s="37">
        <v>49939</v>
      </c>
      <c r="EN44" s="37">
        <v>39886</v>
      </c>
      <c r="EO44" s="37"/>
      <c r="EP44" s="37"/>
      <c r="EQ44" s="37"/>
      <c r="ER44" s="37"/>
      <c r="ES44" s="37"/>
      <c r="ET44" s="37"/>
      <c r="EU44" s="37"/>
      <c r="EV44" s="37"/>
      <c r="EW44" s="37">
        <v>5044</v>
      </c>
      <c r="EX44" s="37">
        <v>4680</v>
      </c>
      <c r="EY44" s="37"/>
      <c r="EZ44" s="37"/>
      <c r="FA44" s="37">
        <f t="shared" si="59"/>
        <v>308027</v>
      </c>
      <c r="FB44" s="37">
        <f t="shared" si="60"/>
        <v>254941</v>
      </c>
      <c r="FC44" s="37">
        <f t="shared" si="76"/>
        <v>308027</v>
      </c>
      <c r="FD44" s="37">
        <f t="shared" si="77"/>
        <v>254941</v>
      </c>
      <c r="FE44" s="37">
        <v>144922</v>
      </c>
      <c r="FF44" s="37">
        <v>144922</v>
      </c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>
        <v>20000</v>
      </c>
      <c r="FR44" s="37"/>
      <c r="FS44" s="37">
        <v>8840</v>
      </c>
      <c r="FT44" s="37">
        <v>8840</v>
      </c>
      <c r="FU44" s="37"/>
      <c r="FV44" s="37"/>
      <c r="FW44" s="37">
        <v>134265</v>
      </c>
      <c r="FX44" s="37">
        <v>101179</v>
      </c>
      <c r="FY44" s="37"/>
      <c r="FZ44" s="37"/>
      <c r="GA44" s="37"/>
      <c r="GB44" s="37"/>
      <c r="GC44" s="36">
        <f t="shared" si="62"/>
        <v>0</v>
      </c>
      <c r="GD44" s="36">
        <f t="shared" si="63"/>
        <v>0</v>
      </c>
      <c r="GE44" s="36"/>
      <c r="GF44" s="36"/>
      <c r="GG44" s="36"/>
      <c r="GH44" s="36"/>
      <c r="GI44" s="37"/>
      <c r="GJ44" s="37"/>
      <c r="GK44" s="37"/>
      <c r="GL44" s="37"/>
      <c r="GM44" s="37"/>
      <c r="GN44" s="37"/>
      <c r="GO44" s="37"/>
      <c r="GP44" s="37"/>
      <c r="GQ44" s="37">
        <v>1013</v>
      </c>
      <c r="GR44" s="37">
        <v>1013</v>
      </c>
      <c r="GS44" s="37">
        <v>776624</v>
      </c>
      <c r="GT44" s="37">
        <v>3927022</v>
      </c>
      <c r="GU44" s="37"/>
      <c r="GV44" s="37"/>
      <c r="GW44" s="66"/>
      <c r="GX44" s="66"/>
      <c r="GY44" s="66"/>
      <c r="GZ44" s="66"/>
      <c r="HA44" s="66"/>
      <c r="HB44" s="31">
        <f t="shared" si="17"/>
        <v>0</v>
      </c>
      <c r="HC44" s="31">
        <f t="shared" si="18"/>
        <v>0</v>
      </c>
    </row>
    <row r="45" spans="1:211" s="13" customFormat="1" ht="17.25" customHeight="1">
      <c r="A45" s="23">
        <v>28</v>
      </c>
      <c r="B45" s="24" t="s">
        <v>213</v>
      </c>
      <c r="C45" s="36">
        <f t="shared" si="19"/>
        <v>1139739</v>
      </c>
      <c r="D45" s="36">
        <f t="shared" si="72"/>
        <v>1225445</v>
      </c>
      <c r="E45" s="36">
        <f t="shared" si="97"/>
        <v>974889</v>
      </c>
      <c r="F45" s="36">
        <f t="shared" si="22"/>
        <v>1018431</v>
      </c>
      <c r="G45" s="36">
        <f t="shared" si="23"/>
        <v>146152</v>
      </c>
      <c r="H45" s="36">
        <f t="shared" si="24"/>
        <v>116305</v>
      </c>
      <c r="I45" s="36">
        <v>146152</v>
      </c>
      <c r="J45" s="36">
        <v>116305</v>
      </c>
      <c r="K45" s="36"/>
      <c r="L45" s="36"/>
      <c r="M45" s="36">
        <f t="shared" si="98"/>
        <v>0</v>
      </c>
      <c r="N45" s="36">
        <f t="shared" si="78"/>
        <v>0</v>
      </c>
      <c r="O45" s="36"/>
      <c r="P45" s="36"/>
      <c r="Q45" s="36"/>
      <c r="R45" s="36"/>
      <c r="S45" s="36">
        <f t="shared" si="79"/>
        <v>98685</v>
      </c>
      <c r="T45" s="36">
        <f t="shared" si="80"/>
        <v>76212</v>
      </c>
      <c r="U45" s="36">
        <v>47939</v>
      </c>
      <c r="V45" s="36">
        <v>28201</v>
      </c>
      <c r="W45" s="36">
        <v>17746</v>
      </c>
      <c r="X45" s="36">
        <v>18820</v>
      </c>
      <c r="Y45" s="36"/>
      <c r="Z45" s="36"/>
      <c r="AA45" s="36"/>
      <c r="AB45" s="36"/>
      <c r="AC45" s="36">
        <v>33276</v>
      </c>
      <c r="AD45" s="36">
        <v>29467</v>
      </c>
      <c r="AE45" s="36">
        <v>-276</v>
      </c>
      <c r="AF45" s="36">
        <v>-276</v>
      </c>
      <c r="AG45" s="36">
        <f t="shared" si="99"/>
        <v>718886</v>
      </c>
      <c r="AH45" s="36">
        <f t="shared" si="100"/>
        <v>811209</v>
      </c>
      <c r="AI45" s="36">
        <v>718886</v>
      </c>
      <c r="AJ45" s="36">
        <v>811209</v>
      </c>
      <c r="AK45" s="36"/>
      <c r="AL45" s="36"/>
      <c r="AM45" s="36">
        <f t="shared" si="101"/>
        <v>11166</v>
      </c>
      <c r="AN45" s="36">
        <f t="shared" si="102"/>
        <v>14705</v>
      </c>
      <c r="AO45" s="36"/>
      <c r="AP45" s="36"/>
      <c r="AQ45" s="36"/>
      <c r="AR45" s="36"/>
      <c r="AS45" s="36">
        <v>492</v>
      </c>
      <c r="AT45" s="36">
        <v>3143</v>
      </c>
      <c r="AU45" s="36">
        <v>10674</v>
      </c>
      <c r="AV45" s="36">
        <v>11562</v>
      </c>
      <c r="AW45" s="36">
        <f t="shared" si="73"/>
        <v>164850</v>
      </c>
      <c r="AX45" s="36">
        <f t="shared" si="73"/>
        <v>207014</v>
      </c>
      <c r="AY45" s="36">
        <f t="shared" si="103"/>
        <v>0</v>
      </c>
      <c r="AZ45" s="36">
        <f t="shared" si="104"/>
        <v>0</v>
      </c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>
        <f aca="true" t="shared" si="107" ref="BK45:BL50">BM45+BS45+BY45+CE45</f>
        <v>127439</v>
      </c>
      <c r="BL45" s="36">
        <f t="shared" si="107"/>
        <v>139260</v>
      </c>
      <c r="BM45" s="36">
        <f t="shared" si="105"/>
        <v>15312</v>
      </c>
      <c r="BN45" s="36">
        <f t="shared" si="106"/>
        <v>16975</v>
      </c>
      <c r="BO45" s="36">
        <v>28757</v>
      </c>
      <c r="BP45" s="36">
        <v>29813</v>
      </c>
      <c r="BQ45" s="36">
        <v>-13445</v>
      </c>
      <c r="BR45" s="36">
        <v>-12838</v>
      </c>
      <c r="BS45" s="36"/>
      <c r="BT45" s="36"/>
      <c r="BU45" s="36"/>
      <c r="BV45" s="36"/>
      <c r="BW45" s="36"/>
      <c r="BX45" s="36"/>
      <c r="BY45" s="36">
        <f t="shared" si="42"/>
        <v>0</v>
      </c>
      <c r="BZ45" s="36">
        <f t="shared" si="43"/>
        <v>0</v>
      </c>
      <c r="CA45" s="36"/>
      <c r="CB45" s="36"/>
      <c r="CC45" s="37"/>
      <c r="CD45" s="37"/>
      <c r="CE45" s="36">
        <v>112127</v>
      </c>
      <c r="CF45" s="36">
        <v>122285</v>
      </c>
      <c r="CG45" s="36">
        <f t="shared" si="45"/>
        <v>22985</v>
      </c>
      <c r="CH45" s="36">
        <f t="shared" si="46"/>
        <v>24758</v>
      </c>
      <c r="CI45" s="36">
        <v>41999</v>
      </c>
      <c r="CJ45" s="36">
        <v>41999</v>
      </c>
      <c r="CK45" s="36">
        <v>-19014</v>
      </c>
      <c r="CL45" s="36">
        <v>-17241</v>
      </c>
      <c r="CM45" s="36">
        <f t="shared" si="47"/>
        <v>12983</v>
      </c>
      <c r="CN45" s="36">
        <f t="shared" si="48"/>
        <v>34560</v>
      </c>
      <c r="CO45" s="36"/>
      <c r="CP45" s="36"/>
      <c r="CQ45" s="36">
        <v>12983</v>
      </c>
      <c r="CR45" s="36">
        <v>34560</v>
      </c>
      <c r="CS45" s="36"/>
      <c r="CT45" s="36"/>
      <c r="CU45" s="36"/>
      <c r="CV45" s="36"/>
      <c r="CW45" s="36">
        <f t="shared" si="50"/>
        <v>1443</v>
      </c>
      <c r="CX45" s="36">
        <f t="shared" si="51"/>
        <v>8436</v>
      </c>
      <c r="CY45" s="36">
        <v>568</v>
      </c>
      <c r="CZ45" s="36">
        <v>8436</v>
      </c>
      <c r="DA45" s="36">
        <v>875</v>
      </c>
      <c r="DB45" s="36">
        <v>0</v>
      </c>
      <c r="DC45" s="36"/>
      <c r="DD45" s="36"/>
      <c r="DE45" s="36">
        <f t="shared" si="53"/>
        <v>1139739</v>
      </c>
      <c r="DF45" s="36">
        <f t="shared" si="54"/>
        <v>1225445</v>
      </c>
      <c r="DG45" s="36">
        <f t="shared" si="55"/>
        <v>903261</v>
      </c>
      <c r="DH45" s="36">
        <f t="shared" si="56"/>
        <v>999937</v>
      </c>
      <c r="DI45" s="36">
        <f t="shared" si="74"/>
        <v>663695</v>
      </c>
      <c r="DJ45" s="36">
        <f t="shared" si="75"/>
        <v>856938</v>
      </c>
      <c r="DK45" s="36"/>
      <c r="DL45" s="36"/>
      <c r="DM45" s="36">
        <v>7965</v>
      </c>
      <c r="DN45" s="36">
        <v>19194</v>
      </c>
      <c r="DO45" s="36">
        <v>158798</v>
      </c>
      <c r="DP45" s="36">
        <v>428878</v>
      </c>
      <c r="DQ45" s="36">
        <v>26933</v>
      </c>
      <c r="DR45" s="36">
        <v>1636</v>
      </c>
      <c r="DS45" s="36">
        <v>8072</v>
      </c>
      <c r="DT45" s="36">
        <v>10881</v>
      </c>
      <c r="DU45" s="36">
        <v>328379</v>
      </c>
      <c r="DV45" s="36">
        <v>282400</v>
      </c>
      <c r="DW45" s="36"/>
      <c r="DX45" s="36"/>
      <c r="DY45" s="36"/>
      <c r="DZ45" s="36"/>
      <c r="EA45" s="36">
        <v>121618</v>
      </c>
      <c r="EB45" s="36">
        <v>91208</v>
      </c>
      <c r="EC45" s="36"/>
      <c r="ED45" s="36"/>
      <c r="EE45" s="36">
        <v>11930</v>
      </c>
      <c r="EF45" s="36">
        <v>22741</v>
      </c>
      <c r="EG45" s="36">
        <f aca="true" t="shared" si="108" ref="EG45:EG50">EI45+EK45+EM45+EO45+EQ45+ES45+EU45+EW45+EY45</f>
        <v>239566</v>
      </c>
      <c r="EH45" s="37">
        <f t="shared" si="94"/>
        <v>142999</v>
      </c>
      <c r="EI45" s="36"/>
      <c r="EJ45" s="36"/>
      <c r="EK45" s="36"/>
      <c r="EL45" s="36"/>
      <c r="EM45" s="36">
        <v>143577</v>
      </c>
      <c r="EN45" s="36">
        <v>142737</v>
      </c>
      <c r="EO45" s="36"/>
      <c r="EP45" s="36"/>
      <c r="EQ45" s="36"/>
      <c r="ER45" s="36"/>
      <c r="ES45" s="36">
        <v>0</v>
      </c>
      <c r="ET45" s="36">
        <v>262</v>
      </c>
      <c r="EU45" s="36"/>
      <c r="EV45" s="36"/>
      <c r="EW45" s="36">
        <v>95989</v>
      </c>
      <c r="EX45" s="36">
        <v>0</v>
      </c>
      <c r="EY45" s="36"/>
      <c r="EZ45" s="36"/>
      <c r="FA45" s="36">
        <f t="shared" si="59"/>
        <v>236478</v>
      </c>
      <c r="FB45" s="36">
        <f t="shared" si="60"/>
        <v>225508</v>
      </c>
      <c r="FC45" s="36">
        <f t="shared" si="76"/>
        <v>91015</v>
      </c>
      <c r="FD45" s="36">
        <f t="shared" si="77"/>
        <v>82297</v>
      </c>
      <c r="FE45" s="36">
        <v>31235</v>
      </c>
      <c r="FF45" s="36">
        <v>58077</v>
      </c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>
        <v>7205</v>
      </c>
      <c r="FR45" s="36">
        <v>14521</v>
      </c>
      <c r="FS45" s="36">
        <v>6827</v>
      </c>
      <c r="FT45" s="36">
        <v>7110</v>
      </c>
      <c r="FU45" s="36"/>
      <c r="FV45" s="36"/>
      <c r="FW45" s="36">
        <v>45748</v>
      </c>
      <c r="FX45" s="36">
        <v>2589</v>
      </c>
      <c r="FY45" s="36"/>
      <c r="FZ45" s="36"/>
      <c r="GA45" s="36"/>
      <c r="GB45" s="36"/>
      <c r="GC45" s="36">
        <f t="shared" si="62"/>
        <v>145463</v>
      </c>
      <c r="GD45" s="36">
        <f t="shared" si="63"/>
        <v>143211</v>
      </c>
      <c r="GE45" s="36"/>
      <c r="GF45" s="36"/>
      <c r="GG45" s="36">
        <v>125834</v>
      </c>
      <c r="GH45" s="36">
        <v>143211</v>
      </c>
      <c r="GI45" s="36">
        <v>19629</v>
      </c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67"/>
      <c r="GX45" s="67"/>
      <c r="GY45" s="67"/>
      <c r="GZ45" s="67"/>
      <c r="HA45" s="67"/>
      <c r="HB45" s="31">
        <f t="shared" si="17"/>
        <v>0</v>
      </c>
      <c r="HC45" s="31">
        <f t="shared" si="18"/>
        <v>0</v>
      </c>
    </row>
    <row r="46" spans="1:211" s="13" customFormat="1" ht="17.25" customHeight="1">
      <c r="A46" s="23">
        <v>29</v>
      </c>
      <c r="B46" s="24" t="s">
        <v>214</v>
      </c>
      <c r="C46" s="36">
        <f t="shared" si="19"/>
        <v>2096697</v>
      </c>
      <c r="D46" s="36">
        <f t="shared" si="72"/>
        <v>3273083</v>
      </c>
      <c r="E46" s="36">
        <f t="shared" si="97"/>
        <v>1927140</v>
      </c>
      <c r="F46" s="36">
        <f t="shared" si="22"/>
        <v>3073738</v>
      </c>
      <c r="G46" s="36">
        <f t="shared" si="23"/>
        <v>17913</v>
      </c>
      <c r="H46" s="36">
        <f t="shared" si="24"/>
        <v>82022</v>
      </c>
      <c r="I46" s="36">
        <v>17913</v>
      </c>
      <c r="J46" s="36">
        <v>82022</v>
      </c>
      <c r="K46" s="36">
        <v>0</v>
      </c>
      <c r="L46" s="36">
        <v>0</v>
      </c>
      <c r="M46" s="36">
        <f t="shared" si="98"/>
        <v>0</v>
      </c>
      <c r="N46" s="36">
        <f t="shared" si="78"/>
        <v>0</v>
      </c>
      <c r="O46" s="36">
        <v>0</v>
      </c>
      <c r="P46" s="36">
        <v>0</v>
      </c>
      <c r="Q46" s="36">
        <v>0</v>
      </c>
      <c r="R46" s="36">
        <v>0</v>
      </c>
      <c r="S46" s="36">
        <f t="shared" si="79"/>
        <v>31102</v>
      </c>
      <c r="T46" s="36">
        <f t="shared" si="80"/>
        <v>63032</v>
      </c>
      <c r="U46" s="36">
        <v>18749</v>
      </c>
      <c r="V46" s="36">
        <v>37930</v>
      </c>
      <c r="W46" s="36">
        <v>12560</v>
      </c>
      <c r="X46" s="36">
        <v>25847</v>
      </c>
      <c r="Y46" s="36">
        <v>0</v>
      </c>
      <c r="Z46" s="36">
        <v>0</v>
      </c>
      <c r="AA46" s="36">
        <v>0</v>
      </c>
      <c r="AB46" s="36">
        <v>0</v>
      </c>
      <c r="AC46" s="36">
        <v>610</v>
      </c>
      <c r="AD46" s="36">
        <v>72</v>
      </c>
      <c r="AE46" s="36">
        <v>-817</v>
      </c>
      <c r="AF46" s="36">
        <v>-817</v>
      </c>
      <c r="AG46" s="36">
        <f t="shared" si="99"/>
        <v>1849411</v>
      </c>
      <c r="AH46" s="36">
        <f t="shared" si="100"/>
        <v>2898949</v>
      </c>
      <c r="AI46" s="36">
        <v>1849411</v>
      </c>
      <c r="AJ46" s="36">
        <v>2898949</v>
      </c>
      <c r="AK46" s="36">
        <v>0</v>
      </c>
      <c r="AL46" s="36">
        <v>0</v>
      </c>
      <c r="AM46" s="36">
        <f t="shared" si="101"/>
        <v>28714</v>
      </c>
      <c r="AN46" s="36">
        <f t="shared" si="102"/>
        <v>29735</v>
      </c>
      <c r="AO46" s="36"/>
      <c r="AP46" s="36"/>
      <c r="AQ46" s="36">
        <v>6031</v>
      </c>
      <c r="AR46" s="36">
        <v>0</v>
      </c>
      <c r="AS46" s="36">
        <v>0</v>
      </c>
      <c r="AT46" s="36">
        <v>5122</v>
      </c>
      <c r="AU46" s="36">
        <v>22683</v>
      </c>
      <c r="AV46" s="36">
        <v>24613</v>
      </c>
      <c r="AW46" s="36">
        <f t="shared" si="73"/>
        <v>169557</v>
      </c>
      <c r="AX46" s="36">
        <f t="shared" si="73"/>
        <v>199345</v>
      </c>
      <c r="AY46" s="36">
        <f t="shared" si="103"/>
        <v>0</v>
      </c>
      <c r="AZ46" s="36">
        <f t="shared" si="104"/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36">
        <v>0</v>
      </c>
      <c r="BK46" s="36">
        <f t="shared" si="107"/>
        <v>27533</v>
      </c>
      <c r="BL46" s="36">
        <f t="shared" si="107"/>
        <v>37106</v>
      </c>
      <c r="BM46" s="36">
        <f t="shared" si="105"/>
        <v>26499</v>
      </c>
      <c r="BN46" s="36">
        <f t="shared" si="106"/>
        <v>36103</v>
      </c>
      <c r="BO46" s="36">
        <v>76939</v>
      </c>
      <c r="BP46" s="36">
        <v>78938</v>
      </c>
      <c r="BQ46" s="36">
        <v>-50440</v>
      </c>
      <c r="BR46" s="36">
        <v>-42835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f t="shared" si="42"/>
        <v>1034</v>
      </c>
      <c r="BZ46" s="36">
        <f t="shared" si="43"/>
        <v>1003</v>
      </c>
      <c r="CA46" s="36">
        <v>1040</v>
      </c>
      <c r="CB46" s="36">
        <v>1003</v>
      </c>
      <c r="CC46" s="37">
        <v>-6</v>
      </c>
      <c r="CD46" s="37"/>
      <c r="CE46" s="36"/>
      <c r="CF46" s="36"/>
      <c r="CG46" s="36">
        <f t="shared" si="45"/>
        <v>120302</v>
      </c>
      <c r="CH46" s="36">
        <f t="shared" si="46"/>
        <v>123693</v>
      </c>
      <c r="CI46" s="36">
        <v>144772</v>
      </c>
      <c r="CJ46" s="36">
        <v>144963</v>
      </c>
      <c r="CK46" s="36">
        <v>-24470</v>
      </c>
      <c r="CL46" s="36">
        <v>-21270</v>
      </c>
      <c r="CM46" s="36">
        <f t="shared" si="47"/>
        <v>5000</v>
      </c>
      <c r="CN46" s="36">
        <f t="shared" si="48"/>
        <v>5000</v>
      </c>
      <c r="CO46" s="36"/>
      <c r="CP46" s="36"/>
      <c r="CQ46" s="36"/>
      <c r="CR46" s="36"/>
      <c r="CS46" s="36">
        <v>5000</v>
      </c>
      <c r="CT46" s="36">
        <v>5000</v>
      </c>
      <c r="CU46" s="36"/>
      <c r="CV46" s="36"/>
      <c r="CW46" s="36">
        <f t="shared" si="50"/>
        <v>16722</v>
      </c>
      <c r="CX46" s="36">
        <f t="shared" si="51"/>
        <v>33546</v>
      </c>
      <c r="CY46" s="36"/>
      <c r="CZ46" s="36">
        <v>14494</v>
      </c>
      <c r="DA46" s="36">
        <v>16722</v>
      </c>
      <c r="DB46" s="36">
        <v>19052</v>
      </c>
      <c r="DC46" s="36"/>
      <c r="DD46" s="36"/>
      <c r="DE46" s="36">
        <f t="shared" si="53"/>
        <v>2096697</v>
      </c>
      <c r="DF46" s="36">
        <f t="shared" si="54"/>
        <v>3273083</v>
      </c>
      <c r="DG46" s="36">
        <f t="shared" si="55"/>
        <v>1835092</v>
      </c>
      <c r="DH46" s="36">
        <f t="shared" si="56"/>
        <v>3052407</v>
      </c>
      <c r="DI46" s="36">
        <f t="shared" si="74"/>
        <v>1429474</v>
      </c>
      <c r="DJ46" s="36">
        <f t="shared" si="75"/>
        <v>1593050</v>
      </c>
      <c r="DK46" s="36">
        <v>140597</v>
      </c>
      <c r="DL46" s="36">
        <v>188851</v>
      </c>
      <c r="DM46" s="36">
        <v>17944</v>
      </c>
      <c r="DN46" s="36">
        <v>17448</v>
      </c>
      <c r="DO46" s="36">
        <v>791324</v>
      </c>
      <c r="DP46" s="36">
        <v>963282</v>
      </c>
      <c r="DQ46" s="36">
        <v>54797</v>
      </c>
      <c r="DR46" s="36">
        <v>26670</v>
      </c>
      <c r="DS46" s="36">
        <v>48182</v>
      </c>
      <c r="DT46" s="36">
        <v>39497</v>
      </c>
      <c r="DU46" s="36">
        <v>0</v>
      </c>
      <c r="DV46" s="36">
        <v>0</v>
      </c>
      <c r="DW46" s="36">
        <v>0</v>
      </c>
      <c r="DX46" s="36">
        <v>0</v>
      </c>
      <c r="DY46" s="36">
        <v>0</v>
      </c>
      <c r="DZ46" s="36">
        <v>0</v>
      </c>
      <c r="EA46" s="36">
        <v>370597</v>
      </c>
      <c r="EB46" s="36">
        <v>352330</v>
      </c>
      <c r="EC46" s="36"/>
      <c r="ED46" s="36"/>
      <c r="EE46" s="36">
        <v>6033</v>
      </c>
      <c r="EF46" s="36">
        <v>4972</v>
      </c>
      <c r="EG46" s="36">
        <f t="shared" si="108"/>
        <v>405618</v>
      </c>
      <c r="EH46" s="37">
        <f t="shared" si="94"/>
        <v>1459357</v>
      </c>
      <c r="EI46" s="36"/>
      <c r="EJ46" s="36"/>
      <c r="EK46" s="36"/>
      <c r="EL46" s="36"/>
      <c r="EM46" s="36">
        <v>20750</v>
      </c>
      <c r="EN46" s="36">
        <v>13434</v>
      </c>
      <c r="EO46" s="36">
        <v>324429</v>
      </c>
      <c r="EP46" s="36">
        <v>312805</v>
      </c>
      <c r="EQ46" s="36">
        <v>0</v>
      </c>
      <c r="ER46" s="36">
        <v>0</v>
      </c>
      <c r="ES46" s="36">
        <v>0</v>
      </c>
      <c r="ET46" s="36">
        <v>627</v>
      </c>
      <c r="EU46" s="36">
        <v>0</v>
      </c>
      <c r="EV46" s="36">
        <v>0</v>
      </c>
      <c r="EW46" s="36">
        <v>60439</v>
      </c>
      <c r="EX46" s="36">
        <v>1132491</v>
      </c>
      <c r="EY46" s="36"/>
      <c r="EZ46" s="36"/>
      <c r="FA46" s="36">
        <f t="shared" si="59"/>
        <v>261605</v>
      </c>
      <c r="FB46" s="36">
        <f t="shared" si="60"/>
        <v>220676</v>
      </c>
      <c r="FC46" s="36">
        <f t="shared" si="76"/>
        <v>202052</v>
      </c>
      <c r="FD46" s="36">
        <f t="shared" si="77"/>
        <v>161482</v>
      </c>
      <c r="FE46" s="36">
        <v>145859</v>
      </c>
      <c r="FF46" s="36">
        <v>115649</v>
      </c>
      <c r="FG46" s="36"/>
      <c r="FH46" s="36"/>
      <c r="FI46" s="36"/>
      <c r="FJ46" s="36">
        <v>2516</v>
      </c>
      <c r="FK46" s="36"/>
      <c r="FL46" s="36"/>
      <c r="FM46" s="36"/>
      <c r="FN46" s="36"/>
      <c r="FO46" s="36"/>
      <c r="FP46" s="36"/>
      <c r="FQ46" s="36"/>
      <c r="FR46" s="36">
        <v>10691</v>
      </c>
      <c r="FS46" s="36">
        <v>4643</v>
      </c>
      <c r="FT46" s="36">
        <v>2646</v>
      </c>
      <c r="FU46" s="36"/>
      <c r="FV46" s="36"/>
      <c r="FW46" s="36">
        <v>51550</v>
      </c>
      <c r="FX46" s="36">
        <v>29980</v>
      </c>
      <c r="FY46" s="36"/>
      <c r="FZ46" s="36"/>
      <c r="GA46" s="36"/>
      <c r="GB46" s="36"/>
      <c r="GC46" s="36">
        <f t="shared" si="62"/>
        <v>59553</v>
      </c>
      <c r="GD46" s="36">
        <f t="shared" si="63"/>
        <v>59194</v>
      </c>
      <c r="GE46" s="36"/>
      <c r="GF46" s="36"/>
      <c r="GG46" s="36">
        <v>-145</v>
      </c>
      <c r="GH46" s="36">
        <v>-528</v>
      </c>
      <c r="GI46" s="36">
        <v>59698</v>
      </c>
      <c r="GJ46" s="36">
        <v>59722</v>
      </c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67"/>
      <c r="GX46" s="67"/>
      <c r="GY46" s="67"/>
      <c r="GZ46" s="67"/>
      <c r="HA46" s="67"/>
      <c r="HB46" s="31">
        <f t="shared" si="17"/>
        <v>0</v>
      </c>
      <c r="HC46" s="31">
        <f t="shared" si="18"/>
        <v>0</v>
      </c>
    </row>
    <row r="47" spans="1:211" s="13" customFormat="1" ht="17.25" customHeight="1">
      <c r="A47" s="23">
        <v>30</v>
      </c>
      <c r="B47" s="24" t="s">
        <v>215</v>
      </c>
      <c r="C47" s="36">
        <f t="shared" si="19"/>
        <v>763652</v>
      </c>
      <c r="D47" s="36">
        <f t="shared" si="72"/>
        <v>851051</v>
      </c>
      <c r="E47" s="36">
        <f t="shared" si="97"/>
        <v>615521</v>
      </c>
      <c r="F47" s="36">
        <f t="shared" si="22"/>
        <v>686319</v>
      </c>
      <c r="G47" s="36">
        <f t="shared" si="23"/>
        <v>32965</v>
      </c>
      <c r="H47" s="36">
        <f t="shared" si="24"/>
        <v>27113</v>
      </c>
      <c r="I47" s="36">
        <v>32965</v>
      </c>
      <c r="J47" s="36">
        <v>27113</v>
      </c>
      <c r="K47" s="36"/>
      <c r="L47" s="36"/>
      <c r="M47" s="36">
        <f t="shared" si="98"/>
        <v>0</v>
      </c>
      <c r="N47" s="36">
        <f t="shared" si="78"/>
        <v>0</v>
      </c>
      <c r="O47" s="36"/>
      <c r="P47" s="36"/>
      <c r="Q47" s="36"/>
      <c r="R47" s="36"/>
      <c r="S47" s="36">
        <f t="shared" si="79"/>
        <v>145683</v>
      </c>
      <c r="T47" s="36">
        <f t="shared" si="80"/>
        <v>161876</v>
      </c>
      <c r="U47" s="36">
        <v>49271</v>
      </c>
      <c r="V47" s="36">
        <v>47870</v>
      </c>
      <c r="W47" s="36">
        <v>13098</v>
      </c>
      <c r="X47" s="36">
        <v>13645</v>
      </c>
      <c r="Y47" s="36"/>
      <c r="Z47" s="36"/>
      <c r="AA47" s="36"/>
      <c r="AB47" s="36"/>
      <c r="AC47" s="36">
        <v>103314</v>
      </c>
      <c r="AD47" s="36">
        <v>120361</v>
      </c>
      <c r="AE47" s="36">
        <v>-20000</v>
      </c>
      <c r="AF47" s="36">
        <v>-20000</v>
      </c>
      <c r="AG47" s="36">
        <f t="shared" si="99"/>
        <v>421141</v>
      </c>
      <c r="AH47" s="36">
        <f t="shared" si="100"/>
        <v>485421</v>
      </c>
      <c r="AI47" s="36">
        <v>421141</v>
      </c>
      <c r="AJ47" s="36">
        <v>485421</v>
      </c>
      <c r="AK47" s="36"/>
      <c r="AL47" s="36"/>
      <c r="AM47" s="36">
        <f t="shared" si="101"/>
        <v>15732</v>
      </c>
      <c r="AN47" s="36">
        <f t="shared" si="102"/>
        <v>11909</v>
      </c>
      <c r="AO47" s="36"/>
      <c r="AP47" s="36">
        <v>11</v>
      </c>
      <c r="AQ47" s="36"/>
      <c r="AR47" s="36"/>
      <c r="AS47" s="36">
        <v>2852</v>
      </c>
      <c r="AT47" s="36"/>
      <c r="AU47" s="36">
        <v>12880</v>
      </c>
      <c r="AV47" s="36">
        <v>11898</v>
      </c>
      <c r="AW47" s="36">
        <f t="shared" si="73"/>
        <v>148131</v>
      </c>
      <c r="AX47" s="36">
        <f t="shared" si="73"/>
        <v>164732</v>
      </c>
      <c r="AY47" s="36">
        <f t="shared" si="103"/>
        <v>0</v>
      </c>
      <c r="AZ47" s="36">
        <f t="shared" si="104"/>
        <v>0</v>
      </c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>
        <f t="shared" si="107"/>
        <v>101112</v>
      </c>
      <c r="BL47" s="36">
        <f t="shared" si="107"/>
        <v>93245</v>
      </c>
      <c r="BM47" s="36">
        <f t="shared" si="105"/>
        <v>16634</v>
      </c>
      <c r="BN47" s="36">
        <f t="shared" si="106"/>
        <v>8768</v>
      </c>
      <c r="BO47" s="36">
        <v>26180</v>
      </c>
      <c r="BP47" s="36">
        <v>17674</v>
      </c>
      <c r="BQ47" s="36">
        <v>-9546</v>
      </c>
      <c r="BR47" s="36">
        <v>-8906</v>
      </c>
      <c r="BS47" s="36"/>
      <c r="BT47" s="36"/>
      <c r="BU47" s="36"/>
      <c r="BV47" s="36"/>
      <c r="BW47" s="36"/>
      <c r="BX47" s="36"/>
      <c r="BY47" s="36">
        <f t="shared" si="42"/>
        <v>84478</v>
      </c>
      <c r="BZ47" s="36">
        <f t="shared" si="43"/>
        <v>84477</v>
      </c>
      <c r="CA47" s="36">
        <v>84489</v>
      </c>
      <c r="CB47" s="36">
        <v>84539</v>
      </c>
      <c r="CC47" s="37">
        <v>-11</v>
      </c>
      <c r="CD47" s="37">
        <v>-62</v>
      </c>
      <c r="CE47" s="36"/>
      <c r="CF47" s="36"/>
      <c r="CG47" s="36">
        <f t="shared" si="45"/>
        <v>44127</v>
      </c>
      <c r="CH47" s="36">
        <f t="shared" si="46"/>
        <v>44127</v>
      </c>
      <c r="CI47" s="36">
        <v>77194</v>
      </c>
      <c r="CJ47" s="36">
        <v>77194</v>
      </c>
      <c r="CK47" s="36">
        <v>-33067</v>
      </c>
      <c r="CL47" s="36">
        <v>-33067</v>
      </c>
      <c r="CM47" s="36">
        <f t="shared" si="47"/>
        <v>1250</v>
      </c>
      <c r="CN47" s="36">
        <f t="shared" si="48"/>
        <v>17250</v>
      </c>
      <c r="CO47" s="36"/>
      <c r="CP47" s="36"/>
      <c r="CQ47" s="36"/>
      <c r="CR47" s="36"/>
      <c r="CS47" s="36">
        <v>1250</v>
      </c>
      <c r="CT47" s="36">
        <v>17250</v>
      </c>
      <c r="CU47" s="36"/>
      <c r="CV47" s="36"/>
      <c r="CW47" s="36">
        <f t="shared" si="50"/>
        <v>1642</v>
      </c>
      <c r="CX47" s="36">
        <f t="shared" si="51"/>
        <v>10110</v>
      </c>
      <c r="CY47" s="36">
        <v>1639</v>
      </c>
      <c r="CZ47" s="36">
        <v>10107</v>
      </c>
      <c r="DA47" s="36"/>
      <c r="DB47" s="36"/>
      <c r="DC47" s="36">
        <v>3</v>
      </c>
      <c r="DD47" s="36">
        <v>3</v>
      </c>
      <c r="DE47" s="36">
        <f t="shared" si="53"/>
        <v>763652</v>
      </c>
      <c r="DF47" s="36">
        <f t="shared" si="54"/>
        <v>851051</v>
      </c>
      <c r="DG47" s="36">
        <f t="shared" si="55"/>
        <v>584419</v>
      </c>
      <c r="DH47" s="36">
        <f t="shared" si="56"/>
        <v>684774</v>
      </c>
      <c r="DI47" s="36">
        <f t="shared" si="74"/>
        <v>245490</v>
      </c>
      <c r="DJ47" s="36">
        <f t="shared" si="75"/>
        <v>303728</v>
      </c>
      <c r="DK47" s="36">
        <v>36000</v>
      </c>
      <c r="DL47" s="36">
        <v>44000</v>
      </c>
      <c r="DM47" s="36">
        <v>14865</v>
      </c>
      <c r="DN47" s="36">
        <v>18675</v>
      </c>
      <c r="DO47" s="36">
        <v>45573</v>
      </c>
      <c r="DP47" s="36">
        <v>75149</v>
      </c>
      <c r="DQ47" s="36">
        <v>13194</v>
      </c>
      <c r="DR47" s="36">
        <v>34843</v>
      </c>
      <c r="DS47" s="36">
        <v>26918</v>
      </c>
      <c r="DT47" s="36">
        <v>20200</v>
      </c>
      <c r="DU47" s="36">
        <v>97485</v>
      </c>
      <c r="DV47" s="36">
        <v>105890</v>
      </c>
      <c r="DW47" s="36"/>
      <c r="DX47" s="36"/>
      <c r="DY47" s="36"/>
      <c r="DZ47" s="36"/>
      <c r="EA47" s="36">
        <v>11219</v>
      </c>
      <c r="EB47" s="36">
        <v>8923</v>
      </c>
      <c r="EC47" s="36"/>
      <c r="ED47" s="36"/>
      <c r="EE47" s="36">
        <v>236</v>
      </c>
      <c r="EF47" s="36">
        <v>-3952</v>
      </c>
      <c r="EG47" s="36">
        <f t="shared" si="108"/>
        <v>338929</v>
      </c>
      <c r="EH47" s="37">
        <f t="shared" si="94"/>
        <v>381046</v>
      </c>
      <c r="EI47" s="36"/>
      <c r="EJ47" s="36"/>
      <c r="EK47" s="36"/>
      <c r="EL47" s="36"/>
      <c r="EM47" s="36">
        <v>308615</v>
      </c>
      <c r="EN47" s="36">
        <v>344845</v>
      </c>
      <c r="EO47" s="36">
        <v>11813</v>
      </c>
      <c r="EP47" s="36">
        <v>18307</v>
      </c>
      <c r="EQ47" s="36"/>
      <c r="ER47" s="36"/>
      <c r="ES47" s="36"/>
      <c r="ET47" s="36"/>
      <c r="EU47" s="36"/>
      <c r="EV47" s="36"/>
      <c r="EW47" s="36">
        <v>18501</v>
      </c>
      <c r="EX47" s="36">
        <v>17894</v>
      </c>
      <c r="EY47" s="36"/>
      <c r="EZ47" s="36"/>
      <c r="FA47" s="36">
        <f t="shared" si="59"/>
        <v>179233</v>
      </c>
      <c r="FB47" s="36">
        <f t="shared" si="60"/>
        <v>166277</v>
      </c>
      <c r="FC47" s="36">
        <f t="shared" si="76"/>
        <v>112065</v>
      </c>
      <c r="FD47" s="36">
        <f t="shared" si="77"/>
        <v>99078</v>
      </c>
      <c r="FE47" s="36">
        <v>90706</v>
      </c>
      <c r="FF47" s="36">
        <v>77939</v>
      </c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>
        <v>1709</v>
      </c>
      <c r="FT47" s="36">
        <v>1709</v>
      </c>
      <c r="FU47" s="36"/>
      <c r="FV47" s="36"/>
      <c r="FW47" s="36">
        <v>19650</v>
      </c>
      <c r="FX47" s="36">
        <v>19430</v>
      </c>
      <c r="FY47" s="36"/>
      <c r="FZ47" s="36"/>
      <c r="GA47" s="36"/>
      <c r="GB47" s="36"/>
      <c r="GC47" s="36">
        <f t="shared" si="62"/>
        <v>67168</v>
      </c>
      <c r="GD47" s="36">
        <f t="shared" si="63"/>
        <v>67199</v>
      </c>
      <c r="GE47" s="36"/>
      <c r="GF47" s="36"/>
      <c r="GG47" s="36">
        <v>23041</v>
      </c>
      <c r="GH47" s="36">
        <v>23072</v>
      </c>
      <c r="GI47" s="36">
        <v>44127</v>
      </c>
      <c r="GJ47" s="36">
        <v>44127</v>
      </c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67"/>
      <c r="GX47" s="67"/>
      <c r="GY47" s="67"/>
      <c r="GZ47" s="67"/>
      <c r="HA47" s="67"/>
      <c r="HB47" s="31">
        <f aca="true" t="shared" si="109" ref="HB47:HB70">C47-DE47</f>
        <v>0</v>
      </c>
      <c r="HC47" s="31">
        <f aca="true" t="shared" si="110" ref="HC47:HC70">D47-DF47</f>
        <v>0</v>
      </c>
    </row>
    <row r="48" spans="1:211" s="13" customFormat="1" ht="17.25" customHeight="1">
      <c r="A48" s="23">
        <v>31</v>
      </c>
      <c r="B48" s="24" t="s">
        <v>216</v>
      </c>
      <c r="C48" s="36">
        <f t="shared" si="19"/>
        <v>123642</v>
      </c>
      <c r="D48" s="36">
        <f t="shared" si="72"/>
        <v>118304</v>
      </c>
      <c r="E48" s="36">
        <f t="shared" si="97"/>
        <v>86288</v>
      </c>
      <c r="F48" s="36">
        <f t="shared" si="22"/>
        <v>77663</v>
      </c>
      <c r="G48" s="36">
        <f t="shared" si="23"/>
        <v>30409</v>
      </c>
      <c r="H48" s="36">
        <f t="shared" si="24"/>
        <v>35976</v>
      </c>
      <c r="I48" s="36">
        <v>30409</v>
      </c>
      <c r="J48" s="36">
        <v>35976</v>
      </c>
      <c r="K48" s="36"/>
      <c r="L48" s="36"/>
      <c r="M48" s="36">
        <f t="shared" si="98"/>
        <v>0</v>
      </c>
      <c r="N48" s="36">
        <f t="shared" si="78"/>
        <v>0</v>
      </c>
      <c r="O48" s="36"/>
      <c r="P48" s="36"/>
      <c r="Q48" s="36"/>
      <c r="R48" s="36"/>
      <c r="S48" s="36">
        <f t="shared" si="79"/>
        <v>22610</v>
      </c>
      <c r="T48" s="36">
        <f t="shared" si="80"/>
        <v>9915</v>
      </c>
      <c r="U48" s="36">
        <v>21269</v>
      </c>
      <c r="V48" s="36">
        <v>9327</v>
      </c>
      <c r="W48" s="36">
        <v>1263</v>
      </c>
      <c r="X48" s="36"/>
      <c r="Y48" s="36"/>
      <c r="Z48" s="36"/>
      <c r="AA48" s="36"/>
      <c r="AB48" s="36"/>
      <c r="AC48" s="36">
        <v>751</v>
      </c>
      <c r="AD48" s="36">
        <v>588</v>
      </c>
      <c r="AE48" s="36">
        <v>-673</v>
      </c>
      <c r="AF48" s="36"/>
      <c r="AG48" s="36">
        <f t="shared" si="99"/>
        <v>30283</v>
      </c>
      <c r="AH48" s="36">
        <f t="shared" si="100"/>
        <v>27051</v>
      </c>
      <c r="AI48" s="36">
        <v>30283</v>
      </c>
      <c r="AJ48" s="36">
        <v>27051</v>
      </c>
      <c r="AK48" s="36"/>
      <c r="AL48" s="36"/>
      <c r="AM48" s="36">
        <f t="shared" si="101"/>
        <v>2986</v>
      </c>
      <c r="AN48" s="36">
        <f t="shared" si="102"/>
        <v>4721</v>
      </c>
      <c r="AO48" s="36"/>
      <c r="AP48" s="36"/>
      <c r="AQ48" s="36"/>
      <c r="AR48" s="36"/>
      <c r="AS48" s="36">
        <v>222</v>
      </c>
      <c r="AT48" s="36"/>
      <c r="AU48" s="36">
        <v>2764</v>
      </c>
      <c r="AV48" s="36">
        <v>4721</v>
      </c>
      <c r="AW48" s="36">
        <f t="shared" si="73"/>
        <v>37354</v>
      </c>
      <c r="AX48" s="36">
        <f t="shared" si="73"/>
        <v>40641</v>
      </c>
      <c r="AY48" s="36">
        <f t="shared" si="103"/>
        <v>0</v>
      </c>
      <c r="AZ48" s="36">
        <f t="shared" si="104"/>
        <v>0</v>
      </c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>
        <f t="shared" si="107"/>
        <v>12728</v>
      </c>
      <c r="BL48" s="36">
        <f t="shared" si="107"/>
        <v>16757</v>
      </c>
      <c r="BM48" s="36">
        <f t="shared" si="105"/>
        <v>12248</v>
      </c>
      <c r="BN48" s="36">
        <f t="shared" si="106"/>
        <v>16277</v>
      </c>
      <c r="BO48" s="36">
        <v>35810</v>
      </c>
      <c r="BP48" s="36">
        <v>36604</v>
      </c>
      <c r="BQ48" s="36">
        <v>-23562</v>
      </c>
      <c r="BR48" s="36">
        <v>-20327</v>
      </c>
      <c r="BS48" s="36"/>
      <c r="BT48" s="36"/>
      <c r="BU48" s="36"/>
      <c r="BV48" s="36"/>
      <c r="BW48" s="36"/>
      <c r="BX48" s="36"/>
      <c r="BY48" s="36">
        <f t="shared" si="42"/>
        <v>0</v>
      </c>
      <c r="BZ48" s="36">
        <f t="shared" si="43"/>
        <v>0</v>
      </c>
      <c r="CA48" s="36"/>
      <c r="CB48" s="36"/>
      <c r="CC48" s="37"/>
      <c r="CD48" s="37"/>
      <c r="CE48" s="36">
        <v>480</v>
      </c>
      <c r="CF48" s="36">
        <v>480</v>
      </c>
      <c r="CG48" s="36">
        <f t="shared" si="45"/>
        <v>23155</v>
      </c>
      <c r="CH48" s="36">
        <f t="shared" si="46"/>
        <v>23541</v>
      </c>
      <c r="CI48" s="36">
        <v>35674</v>
      </c>
      <c r="CJ48" s="36">
        <v>35674</v>
      </c>
      <c r="CK48" s="36">
        <v>-12519</v>
      </c>
      <c r="CL48" s="36">
        <v>-12133</v>
      </c>
      <c r="CM48" s="36">
        <f t="shared" si="47"/>
        <v>0</v>
      </c>
      <c r="CN48" s="36">
        <f t="shared" si="48"/>
        <v>0</v>
      </c>
      <c r="CO48" s="36"/>
      <c r="CP48" s="36"/>
      <c r="CQ48" s="36"/>
      <c r="CR48" s="36"/>
      <c r="CS48" s="36"/>
      <c r="CT48" s="36"/>
      <c r="CU48" s="36"/>
      <c r="CV48" s="36"/>
      <c r="CW48" s="36">
        <f t="shared" si="50"/>
        <v>1471</v>
      </c>
      <c r="CX48" s="36">
        <f t="shared" si="51"/>
        <v>343</v>
      </c>
      <c r="CY48" s="36">
        <v>1441</v>
      </c>
      <c r="CZ48" s="36">
        <v>313</v>
      </c>
      <c r="DA48" s="36"/>
      <c r="DB48" s="36"/>
      <c r="DC48" s="36">
        <v>30</v>
      </c>
      <c r="DD48" s="36">
        <v>30</v>
      </c>
      <c r="DE48" s="36">
        <f t="shared" si="53"/>
        <v>123642</v>
      </c>
      <c r="DF48" s="36">
        <f t="shared" si="54"/>
        <v>118304</v>
      </c>
      <c r="DG48" s="36">
        <f t="shared" si="55"/>
        <v>35321</v>
      </c>
      <c r="DH48" s="36">
        <f t="shared" si="56"/>
        <v>43259</v>
      </c>
      <c r="DI48" s="36">
        <f t="shared" si="74"/>
        <v>31665</v>
      </c>
      <c r="DJ48" s="36">
        <f t="shared" si="75"/>
        <v>39596</v>
      </c>
      <c r="DK48" s="36"/>
      <c r="DL48" s="36"/>
      <c r="DM48" s="36">
        <v>248</v>
      </c>
      <c r="DN48" s="36">
        <v>172</v>
      </c>
      <c r="DO48" s="36">
        <v>8185</v>
      </c>
      <c r="DP48" s="36">
        <v>5592</v>
      </c>
      <c r="DQ48" s="36">
        <v>2619</v>
      </c>
      <c r="DR48" s="36">
        <v>5125</v>
      </c>
      <c r="DS48" s="36">
        <v>5227</v>
      </c>
      <c r="DT48" s="36">
        <v>5997</v>
      </c>
      <c r="DU48" s="36"/>
      <c r="DV48" s="36"/>
      <c r="DW48" s="36"/>
      <c r="DX48" s="36"/>
      <c r="DY48" s="36"/>
      <c r="DZ48" s="36"/>
      <c r="EA48" s="36">
        <v>12456</v>
      </c>
      <c r="EB48" s="36">
        <v>13170</v>
      </c>
      <c r="EC48" s="36"/>
      <c r="ED48" s="36"/>
      <c r="EE48" s="36">
        <v>2930</v>
      </c>
      <c r="EF48" s="36">
        <v>9540</v>
      </c>
      <c r="EG48" s="36">
        <f t="shared" si="108"/>
        <v>3656</v>
      </c>
      <c r="EH48" s="37">
        <f t="shared" si="94"/>
        <v>3663</v>
      </c>
      <c r="EI48" s="36"/>
      <c r="EJ48" s="36"/>
      <c r="EK48" s="36"/>
      <c r="EL48" s="36"/>
      <c r="EM48" s="36">
        <v>3656</v>
      </c>
      <c r="EN48" s="36">
        <v>3663</v>
      </c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>
        <f t="shared" si="59"/>
        <v>88321</v>
      </c>
      <c r="FB48" s="36">
        <f t="shared" si="60"/>
        <v>75045</v>
      </c>
      <c r="FC48" s="36">
        <f t="shared" si="76"/>
        <v>70570</v>
      </c>
      <c r="FD48" s="36">
        <f t="shared" si="77"/>
        <v>57294</v>
      </c>
      <c r="FE48" s="36">
        <v>43722</v>
      </c>
      <c r="FF48" s="36">
        <v>32962</v>
      </c>
      <c r="FG48" s="36"/>
      <c r="FH48" s="36"/>
      <c r="FI48" s="36"/>
      <c r="FJ48" s="36">
        <v>494</v>
      </c>
      <c r="FK48" s="36"/>
      <c r="FL48" s="36"/>
      <c r="FM48" s="36"/>
      <c r="FN48" s="36"/>
      <c r="FO48" s="36"/>
      <c r="FP48" s="36"/>
      <c r="FQ48" s="36">
        <v>2404</v>
      </c>
      <c r="FR48" s="36"/>
      <c r="FS48" s="36"/>
      <c r="FT48" s="36">
        <v>2404</v>
      </c>
      <c r="FU48" s="36"/>
      <c r="FV48" s="36"/>
      <c r="FW48" s="36">
        <v>24444</v>
      </c>
      <c r="FX48" s="36">
        <v>21434</v>
      </c>
      <c r="FY48" s="36"/>
      <c r="FZ48" s="36"/>
      <c r="GA48" s="36"/>
      <c r="GB48" s="36"/>
      <c r="GC48" s="36">
        <f t="shared" si="62"/>
        <v>17751</v>
      </c>
      <c r="GD48" s="36">
        <f t="shared" si="63"/>
        <v>17751</v>
      </c>
      <c r="GE48" s="36"/>
      <c r="GF48" s="36"/>
      <c r="GG48" s="36">
        <v>1133</v>
      </c>
      <c r="GH48" s="36">
        <v>1133</v>
      </c>
      <c r="GI48" s="36">
        <v>16618</v>
      </c>
      <c r="GJ48" s="36">
        <v>16618</v>
      </c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67"/>
      <c r="GX48" s="67"/>
      <c r="GY48" s="67"/>
      <c r="GZ48" s="67"/>
      <c r="HA48" s="67"/>
      <c r="HB48" s="31">
        <f t="shared" si="109"/>
        <v>0</v>
      </c>
      <c r="HC48" s="31">
        <f t="shared" si="110"/>
        <v>0</v>
      </c>
    </row>
    <row r="49" spans="1:211" s="13" customFormat="1" ht="14.25">
      <c r="A49" s="23">
        <v>32</v>
      </c>
      <c r="B49" s="24" t="s">
        <v>217</v>
      </c>
      <c r="C49" s="36">
        <f t="shared" si="19"/>
        <v>707844</v>
      </c>
      <c r="D49" s="36">
        <f t="shared" si="72"/>
        <v>709383</v>
      </c>
      <c r="E49" s="36">
        <f t="shared" si="97"/>
        <v>82307</v>
      </c>
      <c r="F49" s="36">
        <f t="shared" si="22"/>
        <v>89065</v>
      </c>
      <c r="G49" s="36">
        <f t="shared" si="23"/>
        <v>13770</v>
      </c>
      <c r="H49" s="36">
        <f t="shared" si="24"/>
        <v>15880</v>
      </c>
      <c r="I49" s="36">
        <v>13770</v>
      </c>
      <c r="J49" s="36">
        <v>15880</v>
      </c>
      <c r="K49" s="36">
        <v>0</v>
      </c>
      <c r="L49" s="36">
        <v>0</v>
      </c>
      <c r="M49" s="36">
        <f t="shared" si="98"/>
        <v>11283</v>
      </c>
      <c r="N49" s="36">
        <f t="shared" si="78"/>
        <v>11283</v>
      </c>
      <c r="O49" s="36">
        <v>11283</v>
      </c>
      <c r="P49" s="36">
        <v>11283</v>
      </c>
      <c r="Q49" s="36">
        <v>0</v>
      </c>
      <c r="R49" s="36">
        <v>0</v>
      </c>
      <c r="S49" s="36">
        <f t="shared" si="79"/>
        <v>55371</v>
      </c>
      <c r="T49" s="36">
        <f t="shared" si="80"/>
        <v>60375</v>
      </c>
      <c r="U49" s="36">
        <v>46494</v>
      </c>
      <c r="V49" s="36">
        <v>56176</v>
      </c>
      <c r="W49" s="36">
        <v>8837</v>
      </c>
      <c r="X49" s="36">
        <v>4199</v>
      </c>
      <c r="Y49" s="36">
        <v>0</v>
      </c>
      <c r="Z49" s="36">
        <v>0</v>
      </c>
      <c r="AA49" s="36">
        <v>0</v>
      </c>
      <c r="AB49" s="36">
        <v>0</v>
      </c>
      <c r="AC49" s="36">
        <v>40</v>
      </c>
      <c r="AD49" s="36">
        <v>0</v>
      </c>
      <c r="AE49" s="36">
        <v>0</v>
      </c>
      <c r="AF49" s="36">
        <v>0</v>
      </c>
      <c r="AG49" s="36">
        <f t="shared" si="99"/>
        <v>1190</v>
      </c>
      <c r="AH49" s="36">
        <f t="shared" si="100"/>
        <v>1150</v>
      </c>
      <c r="AI49" s="36">
        <v>1190</v>
      </c>
      <c r="AJ49" s="36">
        <v>1150</v>
      </c>
      <c r="AK49" s="36">
        <v>0</v>
      </c>
      <c r="AL49" s="36">
        <v>0</v>
      </c>
      <c r="AM49" s="36">
        <f t="shared" si="101"/>
        <v>693</v>
      </c>
      <c r="AN49" s="36">
        <f t="shared" si="102"/>
        <v>377</v>
      </c>
      <c r="AO49" s="36">
        <v>80</v>
      </c>
      <c r="AP49" s="36">
        <v>0</v>
      </c>
      <c r="AQ49" s="36">
        <v>358</v>
      </c>
      <c r="AR49" s="36">
        <v>145</v>
      </c>
      <c r="AS49" s="36">
        <v>120</v>
      </c>
      <c r="AT49" s="36">
        <v>2</v>
      </c>
      <c r="AU49" s="36">
        <v>135</v>
      </c>
      <c r="AV49" s="36">
        <v>230</v>
      </c>
      <c r="AW49" s="36">
        <f t="shared" si="73"/>
        <v>625537</v>
      </c>
      <c r="AX49" s="36">
        <f t="shared" si="73"/>
        <v>620318</v>
      </c>
      <c r="AY49" s="36">
        <f t="shared" si="103"/>
        <v>0</v>
      </c>
      <c r="AZ49" s="36">
        <f t="shared" si="104"/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f t="shared" si="107"/>
        <v>625537</v>
      </c>
      <c r="BL49" s="36">
        <f t="shared" si="107"/>
        <v>620318</v>
      </c>
      <c r="BM49" s="36">
        <f t="shared" si="105"/>
        <v>32252</v>
      </c>
      <c r="BN49" s="36">
        <f t="shared" si="106"/>
        <v>34863</v>
      </c>
      <c r="BO49" s="36">
        <v>66695</v>
      </c>
      <c r="BP49" s="36">
        <v>65900</v>
      </c>
      <c r="BQ49" s="36">
        <v>-34443</v>
      </c>
      <c r="BR49" s="36">
        <v>-31037</v>
      </c>
      <c r="BS49" s="36">
        <f>BU49+BW49</f>
        <v>0</v>
      </c>
      <c r="BT49" s="36">
        <f>BV49+BX49</f>
        <v>0</v>
      </c>
      <c r="BU49" s="36">
        <v>0</v>
      </c>
      <c r="BV49" s="36">
        <v>0</v>
      </c>
      <c r="BW49" s="36">
        <v>0</v>
      </c>
      <c r="BX49" s="36">
        <v>0</v>
      </c>
      <c r="BY49" s="36">
        <f t="shared" si="42"/>
        <v>0</v>
      </c>
      <c r="BZ49" s="36">
        <f t="shared" si="43"/>
        <v>0</v>
      </c>
      <c r="CA49" s="36">
        <v>0</v>
      </c>
      <c r="CB49" s="36">
        <v>0</v>
      </c>
      <c r="CC49" s="37">
        <v>0</v>
      </c>
      <c r="CD49" s="37">
        <v>0</v>
      </c>
      <c r="CE49" s="36">
        <v>593285</v>
      </c>
      <c r="CF49" s="36">
        <v>585455</v>
      </c>
      <c r="CG49" s="36">
        <f t="shared" si="45"/>
        <v>0</v>
      </c>
      <c r="CH49" s="36">
        <f t="shared" si="46"/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f t="shared" si="47"/>
        <v>0</v>
      </c>
      <c r="CN49" s="36">
        <f t="shared" si="48"/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f t="shared" si="50"/>
        <v>0</v>
      </c>
      <c r="CX49" s="36">
        <f t="shared" si="51"/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f t="shared" si="53"/>
        <v>707844</v>
      </c>
      <c r="DF49" s="36">
        <f t="shared" si="54"/>
        <v>709383</v>
      </c>
      <c r="DG49" s="36">
        <f t="shared" si="55"/>
        <v>47353</v>
      </c>
      <c r="DH49" s="36">
        <f t="shared" si="56"/>
        <v>50270</v>
      </c>
      <c r="DI49" s="36">
        <f t="shared" si="74"/>
        <v>47295</v>
      </c>
      <c r="DJ49" s="36">
        <f t="shared" si="75"/>
        <v>50270</v>
      </c>
      <c r="DK49" s="36">
        <v>0</v>
      </c>
      <c r="DL49" s="36">
        <v>0</v>
      </c>
      <c r="DM49" s="36">
        <v>4300</v>
      </c>
      <c r="DN49" s="36">
        <v>7648</v>
      </c>
      <c r="DO49" s="36">
        <v>30</v>
      </c>
      <c r="DP49" s="36">
        <v>0</v>
      </c>
      <c r="DQ49" s="36">
        <v>155</v>
      </c>
      <c r="DR49" s="36">
        <v>487</v>
      </c>
      <c r="DS49" s="36">
        <v>41313</v>
      </c>
      <c r="DT49" s="36">
        <v>39102</v>
      </c>
      <c r="DU49" s="36">
        <v>0</v>
      </c>
      <c r="DV49" s="36">
        <v>0</v>
      </c>
      <c r="DW49" s="36">
        <v>0</v>
      </c>
      <c r="DX49" s="36">
        <v>0</v>
      </c>
      <c r="DY49" s="36">
        <v>0</v>
      </c>
      <c r="DZ49" s="36">
        <v>0</v>
      </c>
      <c r="EA49" s="36">
        <v>954</v>
      </c>
      <c r="EB49" s="36">
        <v>2051</v>
      </c>
      <c r="EC49" s="36">
        <v>0</v>
      </c>
      <c r="ED49" s="36">
        <v>0</v>
      </c>
      <c r="EE49" s="36">
        <v>543</v>
      </c>
      <c r="EF49" s="36">
        <v>982</v>
      </c>
      <c r="EG49" s="36">
        <f t="shared" si="108"/>
        <v>58</v>
      </c>
      <c r="EH49" s="37">
        <f t="shared" si="94"/>
        <v>0</v>
      </c>
      <c r="EI49" s="36">
        <v>0</v>
      </c>
      <c r="EJ49" s="36">
        <v>0</v>
      </c>
      <c r="EK49" s="36">
        <v>0</v>
      </c>
      <c r="EL49" s="36">
        <v>0</v>
      </c>
      <c r="EM49" s="36">
        <v>0</v>
      </c>
      <c r="EN49" s="36">
        <v>0</v>
      </c>
      <c r="EO49" s="36">
        <v>0</v>
      </c>
      <c r="EP49" s="36">
        <v>0</v>
      </c>
      <c r="EQ49" s="36">
        <v>0</v>
      </c>
      <c r="ER49" s="36">
        <v>0</v>
      </c>
      <c r="ES49" s="36">
        <v>0</v>
      </c>
      <c r="ET49" s="36">
        <v>0</v>
      </c>
      <c r="EU49" s="36">
        <v>0</v>
      </c>
      <c r="EV49" s="36">
        <v>0</v>
      </c>
      <c r="EW49" s="36">
        <v>0</v>
      </c>
      <c r="EX49" s="36">
        <v>0</v>
      </c>
      <c r="EY49" s="36">
        <v>58</v>
      </c>
      <c r="EZ49" s="36">
        <v>0</v>
      </c>
      <c r="FA49" s="36">
        <f t="shared" si="59"/>
        <v>660491</v>
      </c>
      <c r="FB49" s="36">
        <f t="shared" si="60"/>
        <v>659113</v>
      </c>
      <c r="FC49" s="36">
        <f t="shared" si="76"/>
        <v>660172</v>
      </c>
      <c r="FD49" s="36">
        <f t="shared" si="77"/>
        <v>658753</v>
      </c>
      <c r="FE49" s="36">
        <v>58139</v>
      </c>
      <c r="FF49" s="36">
        <v>48849</v>
      </c>
      <c r="FG49" s="36">
        <v>0</v>
      </c>
      <c r="FH49" s="36">
        <v>0</v>
      </c>
      <c r="FI49" s="36">
        <v>0</v>
      </c>
      <c r="FJ49" s="36">
        <v>0</v>
      </c>
      <c r="FK49" s="36">
        <v>0</v>
      </c>
      <c r="FL49" s="36">
        <v>0</v>
      </c>
      <c r="FM49" s="36">
        <v>0</v>
      </c>
      <c r="FN49" s="36">
        <v>0</v>
      </c>
      <c r="FO49" s="36">
        <v>0</v>
      </c>
      <c r="FP49" s="36">
        <v>0</v>
      </c>
      <c r="FQ49" s="36">
        <v>0</v>
      </c>
      <c r="FR49" s="36">
        <v>0</v>
      </c>
      <c r="FS49" s="36">
        <v>581</v>
      </c>
      <c r="FT49" s="36">
        <v>581</v>
      </c>
      <c r="FU49" s="36">
        <v>0</v>
      </c>
      <c r="FV49" s="36">
        <v>0</v>
      </c>
      <c r="FW49" s="36">
        <v>1506</v>
      </c>
      <c r="FX49" s="36">
        <v>2046</v>
      </c>
      <c r="FY49" s="36">
        <v>599946</v>
      </c>
      <c r="FZ49" s="36">
        <v>607277</v>
      </c>
      <c r="GA49" s="36">
        <v>0</v>
      </c>
      <c r="GB49" s="36">
        <v>0</v>
      </c>
      <c r="GC49" s="36">
        <f t="shared" si="62"/>
        <v>319</v>
      </c>
      <c r="GD49" s="36">
        <f t="shared" si="63"/>
        <v>360</v>
      </c>
      <c r="GE49" s="36"/>
      <c r="GF49" s="36"/>
      <c r="GG49" s="36">
        <v>319</v>
      </c>
      <c r="GH49" s="36">
        <v>360</v>
      </c>
      <c r="GI49" s="36">
        <v>0</v>
      </c>
      <c r="GJ49" s="36">
        <v>0</v>
      </c>
      <c r="GK49" s="36">
        <v>0</v>
      </c>
      <c r="GL49" s="36">
        <v>0</v>
      </c>
      <c r="GM49" s="36">
        <v>0</v>
      </c>
      <c r="GN49" s="36">
        <v>0</v>
      </c>
      <c r="GO49" s="36">
        <v>0</v>
      </c>
      <c r="GP49" s="36">
        <v>0</v>
      </c>
      <c r="GQ49" s="36">
        <v>0</v>
      </c>
      <c r="GR49" s="36">
        <v>0</v>
      </c>
      <c r="GS49" s="36">
        <v>0</v>
      </c>
      <c r="GT49" s="36">
        <v>0</v>
      </c>
      <c r="GU49" s="36">
        <v>0</v>
      </c>
      <c r="GV49" s="36">
        <v>0</v>
      </c>
      <c r="GW49" s="67"/>
      <c r="GX49" s="67"/>
      <c r="GY49" s="67"/>
      <c r="GZ49" s="67"/>
      <c r="HA49" s="67"/>
      <c r="HB49" s="31">
        <f t="shared" si="109"/>
        <v>0</v>
      </c>
      <c r="HC49" s="31">
        <f t="shared" si="110"/>
        <v>0</v>
      </c>
    </row>
    <row r="50" spans="1:211" s="13" customFormat="1" ht="17.25" customHeight="1">
      <c r="A50" s="23">
        <v>33</v>
      </c>
      <c r="B50" s="24" t="s">
        <v>218</v>
      </c>
      <c r="C50" s="36">
        <f t="shared" si="19"/>
        <v>226207.238</v>
      </c>
      <c r="D50" s="36">
        <f t="shared" si="72"/>
        <v>191544</v>
      </c>
      <c r="E50" s="36">
        <f t="shared" si="97"/>
        <v>219095.238</v>
      </c>
      <c r="F50" s="36">
        <f t="shared" si="22"/>
        <v>184681</v>
      </c>
      <c r="G50" s="36">
        <f t="shared" si="23"/>
        <v>17570</v>
      </c>
      <c r="H50" s="36">
        <f t="shared" si="24"/>
        <v>79381</v>
      </c>
      <c r="I50" s="36">
        <v>17570</v>
      </c>
      <c r="J50" s="36">
        <v>79381</v>
      </c>
      <c r="K50" s="36">
        <v>0</v>
      </c>
      <c r="L50" s="36">
        <v>0</v>
      </c>
      <c r="M50" s="36">
        <f t="shared" si="98"/>
        <v>150000</v>
      </c>
      <c r="N50" s="36">
        <f t="shared" si="78"/>
        <v>60500</v>
      </c>
      <c r="O50" s="36">
        <v>150000</v>
      </c>
      <c r="P50" s="36">
        <v>60500</v>
      </c>
      <c r="Q50" s="36">
        <v>0</v>
      </c>
      <c r="R50" s="36">
        <v>0</v>
      </c>
      <c r="S50" s="36">
        <f t="shared" si="79"/>
        <v>40727.238</v>
      </c>
      <c r="T50" s="36">
        <f t="shared" si="80"/>
        <v>37838</v>
      </c>
      <c r="U50" s="36">
        <v>33193</v>
      </c>
      <c r="V50" s="36">
        <v>33656</v>
      </c>
      <c r="W50" s="36">
        <v>2886</v>
      </c>
      <c r="X50" s="36">
        <v>2915</v>
      </c>
      <c r="Y50" s="36">
        <v>0.238</v>
      </c>
      <c r="Z50" s="36">
        <v>244</v>
      </c>
      <c r="AA50" s="36"/>
      <c r="AB50" s="36"/>
      <c r="AC50" s="36">
        <v>4648</v>
      </c>
      <c r="AD50" s="36">
        <v>1023</v>
      </c>
      <c r="AE50" s="36"/>
      <c r="AF50" s="36"/>
      <c r="AG50" s="36">
        <f t="shared" si="99"/>
        <v>1378</v>
      </c>
      <c r="AH50" s="36">
        <f t="shared" si="100"/>
        <v>1912</v>
      </c>
      <c r="AI50" s="36">
        <v>1378</v>
      </c>
      <c r="AJ50" s="36">
        <v>1912</v>
      </c>
      <c r="AK50" s="36"/>
      <c r="AL50" s="36"/>
      <c r="AM50" s="36">
        <f t="shared" si="101"/>
        <v>9420</v>
      </c>
      <c r="AN50" s="36">
        <f t="shared" si="102"/>
        <v>5050</v>
      </c>
      <c r="AO50" s="36"/>
      <c r="AP50" s="36"/>
      <c r="AQ50" s="36"/>
      <c r="AR50" s="36"/>
      <c r="AS50" s="36">
        <v>218</v>
      </c>
      <c r="AT50" s="36">
        <v>1377</v>
      </c>
      <c r="AU50" s="36">
        <v>9202</v>
      </c>
      <c r="AV50" s="36">
        <v>3673</v>
      </c>
      <c r="AW50" s="36">
        <f t="shared" si="73"/>
        <v>7112</v>
      </c>
      <c r="AX50" s="36">
        <f t="shared" si="73"/>
        <v>6863</v>
      </c>
      <c r="AY50" s="36">
        <f t="shared" si="103"/>
        <v>0</v>
      </c>
      <c r="AZ50" s="36">
        <f t="shared" si="104"/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f t="shared" si="107"/>
        <v>7112</v>
      </c>
      <c r="BL50" s="36">
        <f t="shared" si="107"/>
        <v>6863</v>
      </c>
      <c r="BM50" s="36">
        <f t="shared" si="105"/>
        <v>7112</v>
      </c>
      <c r="BN50" s="36">
        <f t="shared" si="106"/>
        <v>6863</v>
      </c>
      <c r="BO50" s="36">
        <v>56232</v>
      </c>
      <c r="BP50" s="36">
        <v>55476</v>
      </c>
      <c r="BQ50" s="36">
        <v>-49120</v>
      </c>
      <c r="BR50" s="36">
        <v>-48613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f t="shared" si="42"/>
        <v>0</v>
      </c>
      <c r="BZ50" s="36">
        <f t="shared" si="43"/>
        <v>0</v>
      </c>
      <c r="CA50" s="36">
        <v>0</v>
      </c>
      <c r="CB50" s="36">
        <v>0</v>
      </c>
      <c r="CC50" s="37">
        <v>0</v>
      </c>
      <c r="CD50" s="37">
        <v>0</v>
      </c>
      <c r="CE50" s="36">
        <v>0</v>
      </c>
      <c r="CF50" s="36">
        <v>0</v>
      </c>
      <c r="CG50" s="36">
        <f t="shared" si="45"/>
        <v>0</v>
      </c>
      <c r="CH50" s="36">
        <f t="shared" si="46"/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f t="shared" si="47"/>
        <v>0</v>
      </c>
      <c r="CN50" s="36">
        <f t="shared" si="48"/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f t="shared" si="50"/>
        <v>0</v>
      </c>
      <c r="CX50" s="36">
        <f t="shared" si="51"/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f t="shared" si="53"/>
        <v>226207</v>
      </c>
      <c r="DF50" s="36">
        <f t="shared" si="54"/>
        <v>191544</v>
      </c>
      <c r="DG50" s="36">
        <f t="shared" si="55"/>
        <v>173623</v>
      </c>
      <c r="DH50" s="36">
        <f t="shared" si="56"/>
        <v>142020</v>
      </c>
      <c r="DI50" s="36">
        <f t="shared" si="74"/>
        <v>172061</v>
      </c>
      <c r="DJ50" s="36">
        <f t="shared" si="75"/>
        <v>140593</v>
      </c>
      <c r="DK50" s="36">
        <v>0</v>
      </c>
      <c r="DL50" s="36">
        <v>0</v>
      </c>
      <c r="DM50" s="36">
        <v>13690</v>
      </c>
      <c r="DN50" s="36">
        <v>8137</v>
      </c>
      <c r="DO50" s="36">
        <v>4373</v>
      </c>
      <c r="DP50" s="36">
        <v>1457</v>
      </c>
      <c r="DQ50" s="36">
        <v>8160</v>
      </c>
      <c r="DR50" s="36">
        <v>2997</v>
      </c>
      <c r="DS50" s="36">
        <v>33763</v>
      </c>
      <c r="DT50" s="36">
        <v>95993</v>
      </c>
      <c r="DU50" s="36">
        <v>86</v>
      </c>
      <c r="DV50" s="36">
        <v>55</v>
      </c>
      <c r="DW50" s="36">
        <v>0</v>
      </c>
      <c r="DX50" s="36">
        <v>0</v>
      </c>
      <c r="DY50" s="36">
        <v>0</v>
      </c>
      <c r="DZ50" s="36">
        <v>0</v>
      </c>
      <c r="EA50" s="36">
        <v>82427</v>
      </c>
      <c r="EB50" s="36">
        <v>16450</v>
      </c>
      <c r="EC50" s="36">
        <v>0</v>
      </c>
      <c r="ED50" s="36">
        <v>0</v>
      </c>
      <c r="EE50" s="36">
        <v>29562</v>
      </c>
      <c r="EF50" s="36">
        <v>15504</v>
      </c>
      <c r="EG50" s="36">
        <f t="shared" si="108"/>
        <v>1562</v>
      </c>
      <c r="EH50" s="37">
        <f t="shared" si="94"/>
        <v>1427</v>
      </c>
      <c r="EI50" s="36">
        <v>0</v>
      </c>
      <c r="EJ50" s="36">
        <v>0</v>
      </c>
      <c r="EK50" s="36">
        <v>0</v>
      </c>
      <c r="EL50" s="36">
        <v>0</v>
      </c>
      <c r="EM50" s="36">
        <v>1543</v>
      </c>
      <c r="EN50" s="36">
        <v>1058</v>
      </c>
      <c r="EO50" s="36">
        <v>0</v>
      </c>
      <c r="EP50" s="36">
        <v>0</v>
      </c>
      <c r="EQ50" s="36">
        <v>0</v>
      </c>
      <c r="ER50" s="36">
        <v>0</v>
      </c>
      <c r="ES50" s="36">
        <v>0</v>
      </c>
      <c r="ET50" s="36">
        <v>0</v>
      </c>
      <c r="EU50" s="36">
        <v>0</v>
      </c>
      <c r="EV50" s="36">
        <v>0</v>
      </c>
      <c r="EW50" s="36">
        <v>19</v>
      </c>
      <c r="EX50" s="36">
        <v>369</v>
      </c>
      <c r="EY50" s="36">
        <v>0</v>
      </c>
      <c r="EZ50" s="36">
        <v>0</v>
      </c>
      <c r="FA50" s="36">
        <f t="shared" si="59"/>
        <v>52584</v>
      </c>
      <c r="FB50" s="36">
        <f t="shared" si="60"/>
        <v>49524</v>
      </c>
      <c r="FC50" s="36">
        <f t="shared" si="76"/>
        <v>45150</v>
      </c>
      <c r="FD50" s="36">
        <f t="shared" si="77"/>
        <v>42090</v>
      </c>
      <c r="FE50" s="36">
        <v>37658</v>
      </c>
      <c r="FF50" s="36">
        <v>37658</v>
      </c>
      <c r="FG50" s="36">
        <v>0</v>
      </c>
      <c r="FH50" s="36">
        <v>0</v>
      </c>
      <c r="FI50" s="36">
        <v>0</v>
      </c>
      <c r="FJ50" s="36">
        <v>0</v>
      </c>
      <c r="FK50" s="36">
        <v>0</v>
      </c>
      <c r="FL50" s="36">
        <v>0</v>
      </c>
      <c r="FM50" s="36">
        <v>0</v>
      </c>
      <c r="FN50" s="36">
        <v>0</v>
      </c>
      <c r="FO50" s="36">
        <v>0</v>
      </c>
      <c r="FP50" s="36">
        <v>0</v>
      </c>
      <c r="FQ50" s="36">
        <v>0</v>
      </c>
      <c r="FR50" s="36">
        <v>0</v>
      </c>
      <c r="FS50" s="36">
        <v>7492</v>
      </c>
      <c r="FT50" s="36">
        <v>4432</v>
      </c>
      <c r="FU50" s="36">
        <v>0</v>
      </c>
      <c r="FV50" s="36">
        <v>0</v>
      </c>
      <c r="FW50" s="36">
        <v>0</v>
      </c>
      <c r="FX50" s="36">
        <v>0</v>
      </c>
      <c r="FY50" s="36">
        <v>0</v>
      </c>
      <c r="FZ50" s="36">
        <v>0</v>
      </c>
      <c r="GA50" s="36">
        <v>0</v>
      </c>
      <c r="GB50" s="36">
        <v>0</v>
      </c>
      <c r="GC50" s="36">
        <f t="shared" si="62"/>
        <v>7434</v>
      </c>
      <c r="GD50" s="36">
        <f t="shared" si="63"/>
        <v>7434</v>
      </c>
      <c r="GE50" s="36">
        <v>0</v>
      </c>
      <c r="GF50" s="36">
        <v>0</v>
      </c>
      <c r="GG50" s="36">
        <v>7434</v>
      </c>
      <c r="GH50" s="36">
        <v>7434</v>
      </c>
      <c r="GI50" s="36">
        <v>0</v>
      </c>
      <c r="GJ50" s="36">
        <v>0</v>
      </c>
      <c r="GK50" s="36">
        <v>0</v>
      </c>
      <c r="GL50" s="36">
        <v>0</v>
      </c>
      <c r="GM50" s="36">
        <v>0</v>
      </c>
      <c r="GN50" s="36">
        <v>0</v>
      </c>
      <c r="GO50" s="36">
        <v>0</v>
      </c>
      <c r="GP50" s="36">
        <v>0</v>
      </c>
      <c r="GQ50" s="36">
        <v>0</v>
      </c>
      <c r="GR50" s="36">
        <v>0</v>
      </c>
      <c r="GS50" s="36">
        <v>0</v>
      </c>
      <c r="GT50" s="36">
        <v>0</v>
      </c>
      <c r="GU50" s="36">
        <v>0</v>
      </c>
      <c r="GV50" s="36">
        <v>0</v>
      </c>
      <c r="GW50" s="67"/>
      <c r="GX50" s="67"/>
      <c r="GY50" s="67"/>
      <c r="GZ50" s="67"/>
      <c r="HA50" s="67"/>
      <c r="HB50" s="31">
        <f t="shared" si="109"/>
        <v>0.2380000000121072</v>
      </c>
      <c r="HC50" s="31">
        <f t="shared" si="110"/>
        <v>0</v>
      </c>
    </row>
    <row r="51" spans="1:211" s="13" customFormat="1" ht="17.25" customHeight="1">
      <c r="A51" s="23">
        <v>34</v>
      </c>
      <c r="B51" s="24" t="s">
        <v>219</v>
      </c>
      <c r="C51" s="36">
        <f t="shared" si="19"/>
        <v>689248</v>
      </c>
      <c r="D51" s="36">
        <f>F51+AX51</f>
        <v>623450</v>
      </c>
      <c r="E51" s="36">
        <f t="shared" si="97"/>
        <v>510722</v>
      </c>
      <c r="F51" s="36">
        <f>H51+N51+T51+AH51+AN51</f>
        <v>435697</v>
      </c>
      <c r="G51" s="36">
        <f>SUM(I51+K51)</f>
        <v>21079</v>
      </c>
      <c r="H51" s="36">
        <f>SUM(J51+L51)</f>
        <v>45313</v>
      </c>
      <c r="I51" s="36">
        <v>21079</v>
      </c>
      <c r="J51" s="36">
        <v>45313</v>
      </c>
      <c r="K51" s="36">
        <v>0</v>
      </c>
      <c r="L51" s="36">
        <v>0</v>
      </c>
      <c r="M51" s="36">
        <f t="shared" si="98"/>
        <v>102218</v>
      </c>
      <c r="N51" s="36">
        <f>SUM(P51+R51)</f>
        <v>125557</v>
      </c>
      <c r="O51" s="36">
        <v>102218</v>
      </c>
      <c r="P51" s="36">
        <v>125557</v>
      </c>
      <c r="Q51" s="36">
        <v>0</v>
      </c>
      <c r="R51" s="36">
        <v>0</v>
      </c>
      <c r="S51" s="36">
        <f>SUM(U51+W51+Y51+AA51+AC51+AE51)</f>
        <v>306964</v>
      </c>
      <c r="T51" s="36">
        <f>SUM(V51+X51+Z51+AB51+AD51+AF51)</f>
        <v>239626</v>
      </c>
      <c r="U51" s="36">
        <v>208862</v>
      </c>
      <c r="V51" s="36">
        <v>213748</v>
      </c>
      <c r="W51" s="36">
        <v>22395</v>
      </c>
      <c r="X51" s="36">
        <v>24565</v>
      </c>
      <c r="Y51" s="36">
        <v>0</v>
      </c>
      <c r="Z51" s="36">
        <v>0</v>
      </c>
      <c r="AA51" s="36">
        <v>0</v>
      </c>
      <c r="AB51" s="36">
        <v>0</v>
      </c>
      <c r="AC51" s="36">
        <v>75707</v>
      </c>
      <c r="AD51" s="36">
        <v>1313</v>
      </c>
      <c r="AE51" s="36">
        <v>0</v>
      </c>
      <c r="AF51" s="36">
        <v>0</v>
      </c>
      <c r="AG51" s="36">
        <f t="shared" si="99"/>
        <v>5067</v>
      </c>
      <c r="AH51" s="36">
        <f t="shared" si="100"/>
        <v>6531</v>
      </c>
      <c r="AI51" s="36">
        <v>5067</v>
      </c>
      <c r="AJ51" s="36">
        <v>6531</v>
      </c>
      <c r="AK51" s="36">
        <v>0</v>
      </c>
      <c r="AL51" s="36">
        <v>0</v>
      </c>
      <c r="AM51" s="36">
        <f t="shared" si="101"/>
        <v>75394</v>
      </c>
      <c r="AN51" s="36">
        <f t="shared" si="102"/>
        <v>18670</v>
      </c>
      <c r="AO51" s="36">
        <v>0</v>
      </c>
      <c r="AP51" s="36">
        <v>0</v>
      </c>
      <c r="AQ51" s="36">
        <v>0</v>
      </c>
      <c r="AR51" s="36">
        <v>0</v>
      </c>
      <c r="AS51" s="36">
        <v>20507</v>
      </c>
      <c r="AT51" s="36">
        <v>0</v>
      </c>
      <c r="AU51" s="36">
        <v>54887</v>
      </c>
      <c r="AV51" s="36">
        <v>18670</v>
      </c>
      <c r="AW51" s="36">
        <f>AY51+BK51+CG51+CM51+CW51</f>
        <v>178526</v>
      </c>
      <c r="AX51" s="36">
        <f>AZ51+BL51+CH51+CN51+CX51</f>
        <v>187753</v>
      </c>
      <c r="AY51" s="36">
        <f t="shared" si="103"/>
        <v>0</v>
      </c>
      <c r="AZ51" s="36">
        <f t="shared" si="104"/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f>BM51+BS51+BY51+CE51</f>
        <v>161289</v>
      </c>
      <c r="BL51" s="36">
        <f>BN51+BT51+BZ51+CF51</f>
        <v>178714</v>
      </c>
      <c r="BM51" s="36">
        <f t="shared" si="105"/>
        <v>152927</v>
      </c>
      <c r="BN51" s="36">
        <f t="shared" si="106"/>
        <v>166671</v>
      </c>
      <c r="BO51" s="36">
        <v>325481</v>
      </c>
      <c r="BP51" s="36">
        <v>318021</v>
      </c>
      <c r="BQ51" s="36">
        <v>-172554</v>
      </c>
      <c r="BR51" s="36">
        <v>-151350</v>
      </c>
      <c r="BS51" s="36"/>
      <c r="BT51" s="36"/>
      <c r="BU51" s="36">
        <v>0</v>
      </c>
      <c r="BV51" s="36">
        <v>0</v>
      </c>
      <c r="BW51" s="36">
        <v>0</v>
      </c>
      <c r="BX51" s="36">
        <v>0</v>
      </c>
      <c r="BY51" s="36">
        <f>CA51+CC51</f>
        <v>153</v>
      </c>
      <c r="BZ51" s="36">
        <f>CB51+CD51</f>
        <v>0</v>
      </c>
      <c r="CA51" s="36">
        <v>170</v>
      </c>
      <c r="CB51" s="36">
        <v>0</v>
      </c>
      <c r="CC51" s="37">
        <v>-17</v>
      </c>
      <c r="CD51" s="37">
        <v>0</v>
      </c>
      <c r="CE51" s="36">
        <v>8209</v>
      </c>
      <c r="CF51" s="36">
        <v>12043</v>
      </c>
      <c r="CG51" s="36">
        <f>CI51+CK51</f>
        <v>0</v>
      </c>
      <c r="CH51" s="36">
        <f>CJ51+CL51</f>
        <v>0</v>
      </c>
      <c r="CI51" s="36">
        <v>0</v>
      </c>
      <c r="CJ51" s="36">
        <v>0</v>
      </c>
      <c r="CK51" s="36">
        <v>0</v>
      </c>
      <c r="CL51" s="36">
        <v>0</v>
      </c>
      <c r="CM51" s="36">
        <f>CO51+CQ51+CS51+CU51</f>
        <v>6500</v>
      </c>
      <c r="CN51" s="36">
        <f>CP51+CR51+CT51+CV51</f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6500</v>
      </c>
      <c r="CT51" s="36">
        <v>0</v>
      </c>
      <c r="CU51" s="36">
        <v>0</v>
      </c>
      <c r="CV51" s="36">
        <v>0</v>
      </c>
      <c r="CW51" s="36">
        <f>CY51+DA51+DC51</f>
        <v>10737</v>
      </c>
      <c r="CX51" s="36">
        <f>CZ51+DB51+DD51</f>
        <v>9039</v>
      </c>
      <c r="CY51" s="36">
        <v>10737</v>
      </c>
      <c r="CZ51" s="36">
        <v>9039</v>
      </c>
      <c r="DA51" s="36">
        <v>0</v>
      </c>
      <c r="DB51" s="36">
        <v>0</v>
      </c>
      <c r="DC51" s="36">
        <v>0</v>
      </c>
      <c r="DD51" s="36">
        <v>0</v>
      </c>
      <c r="DE51" s="36">
        <f t="shared" si="53"/>
        <v>689248</v>
      </c>
      <c r="DF51" s="36">
        <f>DH51+FB51</f>
        <v>623450</v>
      </c>
      <c r="DG51" s="36">
        <f>DI51+EG51</f>
        <v>341177</v>
      </c>
      <c r="DH51" s="36">
        <f>DJ51+EH51</f>
        <v>271827</v>
      </c>
      <c r="DI51" s="36">
        <f>DK51+DM51+DO51+DQ51+DS51+DU51+DW51+DY51+EA51+EC51+EE51</f>
        <v>308720</v>
      </c>
      <c r="DJ51" s="36">
        <f>DL51+DN51+DP51+DR51+DT51+DV51+DX51+DZ51+EB51+ED51+EF51</f>
        <v>271827</v>
      </c>
      <c r="DK51" s="36">
        <v>0</v>
      </c>
      <c r="DL51" s="36">
        <v>0</v>
      </c>
      <c r="DM51" s="36">
        <v>9</v>
      </c>
      <c r="DN51" s="36">
        <v>0</v>
      </c>
      <c r="DO51" s="36">
        <v>14629</v>
      </c>
      <c r="DP51" s="36">
        <v>4592</v>
      </c>
      <c r="DQ51" s="36">
        <v>41427</v>
      </c>
      <c r="DR51" s="36">
        <v>33148</v>
      </c>
      <c r="DS51" s="36">
        <v>95370</v>
      </c>
      <c r="DT51" s="36">
        <v>179153</v>
      </c>
      <c r="DU51" s="36">
        <v>0</v>
      </c>
      <c r="DV51" s="36">
        <v>0</v>
      </c>
      <c r="DW51" s="36">
        <v>0</v>
      </c>
      <c r="DX51" s="36">
        <v>0</v>
      </c>
      <c r="DY51" s="36">
        <v>0</v>
      </c>
      <c r="DZ51" s="36">
        <v>0</v>
      </c>
      <c r="EA51" s="36">
        <v>138681</v>
      </c>
      <c r="EB51" s="36">
        <v>29505</v>
      </c>
      <c r="EC51" s="36">
        <v>0</v>
      </c>
      <c r="ED51" s="36">
        <v>0</v>
      </c>
      <c r="EE51" s="36">
        <v>18604</v>
      </c>
      <c r="EF51" s="36">
        <v>25429</v>
      </c>
      <c r="EG51" s="36">
        <f>EI51+EK51+EM51+EO51+EQ51+ES51+EU51+EW51+EY51</f>
        <v>32457</v>
      </c>
      <c r="EH51" s="37">
        <f t="shared" si="94"/>
        <v>0</v>
      </c>
      <c r="EI51" s="36">
        <v>0</v>
      </c>
      <c r="EJ51" s="36">
        <v>0</v>
      </c>
      <c r="EK51" s="36">
        <v>0</v>
      </c>
      <c r="EL51" s="36">
        <v>0</v>
      </c>
      <c r="EM51" s="36">
        <v>0</v>
      </c>
      <c r="EN51" s="36">
        <v>0</v>
      </c>
      <c r="EO51" s="36">
        <v>0</v>
      </c>
      <c r="EP51" s="36">
        <v>0</v>
      </c>
      <c r="EQ51" s="36">
        <v>0</v>
      </c>
      <c r="ER51" s="36">
        <v>0</v>
      </c>
      <c r="ES51" s="36">
        <v>0</v>
      </c>
      <c r="ET51" s="36">
        <v>0</v>
      </c>
      <c r="EU51" s="36">
        <v>0</v>
      </c>
      <c r="EV51" s="36">
        <v>0</v>
      </c>
      <c r="EW51" s="36">
        <v>32457</v>
      </c>
      <c r="EX51" s="36">
        <v>0</v>
      </c>
      <c r="EY51" s="36">
        <v>0</v>
      </c>
      <c r="EZ51" s="36">
        <v>0</v>
      </c>
      <c r="FA51" s="36">
        <f>FC51+GC51</f>
        <v>348071</v>
      </c>
      <c r="FB51" s="36">
        <f>FD51+GD51</f>
        <v>351623</v>
      </c>
      <c r="FC51" s="36">
        <f>FE51+FG51+FI51+FK51+FM51+FO51+FQ51+FS51+FU51+FW51+FY51+GA51</f>
        <v>344038</v>
      </c>
      <c r="FD51" s="36">
        <f>FF51+FH51+FJ51+FL51+FN51+FP51+FR51+FT51+FV51+FX51+FZ51+GB51</f>
        <v>340131</v>
      </c>
      <c r="FE51" s="36">
        <v>286181</v>
      </c>
      <c r="FF51" s="36">
        <v>286181</v>
      </c>
      <c r="FG51" s="36">
        <v>0</v>
      </c>
      <c r="FH51" s="36">
        <v>0</v>
      </c>
      <c r="FI51" s="36">
        <v>0</v>
      </c>
      <c r="FJ51" s="36">
        <v>0</v>
      </c>
      <c r="FK51" s="36">
        <v>0</v>
      </c>
      <c r="FL51" s="36">
        <v>0</v>
      </c>
      <c r="FM51" s="36">
        <v>0</v>
      </c>
      <c r="FN51" s="36">
        <v>0</v>
      </c>
      <c r="FO51" s="36">
        <v>0</v>
      </c>
      <c r="FP51" s="36">
        <v>0</v>
      </c>
      <c r="FQ51" s="36">
        <v>0</v>
      </c>
      <c r="FR51" s="36">
        <v>0</v>
      </c>
      <c r="FS51" s="36">
        <v>8186</v>
      </c>
      <c r="FT51" s="36">
        <v>8186</v>
      </c>
      <c r="FU51" s="36">
        <v>0</v>
      </c>
      <c r="FV51" s="36">
        <v>0</v>
      </c>
      <c r="FW51" s="36">
        <v>49671</v>
      </c>
      <c r="FX51" s="36">
        <v>45764</v>
      </c>
      <c r="FY51" s="36">
        <v>0</v>
      </c>
      <c r="FZ51" s="36">
        <v>0</v>
      </c>
      <c r="GA51" s="36">
        <v>0</v>
      </c>
      <c r="GB51" s="36">
        <v>0</v>
      </c>
      <c r="GC51" s="36">
        <f t="shared" si="62"/>
        <v>4033</v>
      </c>
      <c r="GD51" s="36">
        <f t="shared" si="63"/>
        <v>11492</v>
      </c>
      <c r="GE51" s="36">
        <v>0</v>
      </c>
      <c r="GF51" s="36">
        <v>0</v>
      </c>
      <c r="GG51" s="36">
        <v>4033</v>
      </c>
      <c r="GH51" s="36">
        <v>11492</v>
      </c>
      <c r="GI51" s="36">
        <v>0</v>
      </c>
      <c r="GJ51" s="36">
        <v>0</v>
      </c>
      <c r="GK51" s="36">
        <v>0</v>
      </c>
      <c r="GL51" s="36">
        <v>0</v>
      </c>
      <c r="GM51" s="36">
        <v>0</v>
      </c>
      <c r="GN51" s="36">
        <v>0</v>
      </c>
      <c r="GO51" s="36">
        <v>0</v>
      </c>
      <c r="GP51" s="36">
        <v>0</v>
      </c>
      <c r="GQ51" s="36">
        <v>0</v>
      </c>
      <c r="GR51" s="36">
        <v>0</v>
      </c>
      <c r="GS51" s="36">
        <v>0</v>
      </c>
      <c r="GT51" s="36">
        <v>0</v>
      </c>
      <c r="GU51" s="36">
        <v>0</v>
      </c>
      <c r="GV51" s="36">
        <v>0</v>
      </c>
      <c r="GW51" s="67"/>
      <c r="GX51" s="67"/>
      <c r="GY51" s="67"/>
      <c r="GZ51" s="67"/>
      <c r="HA51" s="67"/>
      <c r="HB51" s="31">
        <f t="shared" si="109"/>
        <v>0</v>
      </c>
      <c r="HC51" s="31">
        <f t="shared" si="110"/>
        <v>0</v>
      </c>
    </row>
    <row r="52" spans="1:211" s="13" customFormat="1" ht="17.25" customHeight="1">
      <c r="A52" s="23">
        <v>35</v>
      </c>
      <c r="B52" s="24" t="s">
        <v>220</v>
      </c>
      <c r="C52" s="36">
        <f aca="true" t="shared" si="111" ref="C52:D67">E52+AW52</f>
        <v>263145</v>
      </c>
      <c r="D52" s="36">
        <f t="shared" si="111"/>
        <v>286477</v>
      </c>
      <c r="E52" s="36">
        <f aca="true" t="shared" si="112" ref="E52:F59">G52+M52+S52+AG52+AM52</f>
        <v>157913</v>
      </c>
      <c r="F52" s="36">
        <f t="shared" si="112"/>
        <v>177361</v>
      </c>
      <c r="G52" s="36">
        <f aca="true" t="shared" si="113" ref="G52:H59">SUM(I52+K52)</f>
        <v>43802</v>
      </c>
      <c r="H52" s="36">
        <f t="shared" si="113"/>
        <v>87934</v>
      </c>
      <c r="I52" s="36">
        <v>43802</v>
      </c>
      <c r="J52" s="36">
        <v>87934</v>
      </c>
      <c r="K52" s="36"/>
      <c r="L52" s="36"/>
      <c r="M52" s="36">
        <f aca="true" t="shared" si="114" ref="M52:N59">SUM(O52+Q52)</f>
        <v>26500</v>
      </c>
      <c r="N52" s="36">
        <f t="shared" si="114"/>
        <v>0</v>
      </c>
      <c r="O52" s="36">
        <v>26500</v>
      </c>
      <c r="P52" s="36"/>
      <c r="Q52" s="36"/>
      <c r="R52" s="36"/>
      <c r="S52" s="36">
        <f aca="true" t="shared" si="115" ref="S52:T59">SUM(U52+W52+Y52+AA52+AC52+AE52)</f>
        <v>34954</v>
      </c>
      <c r="T52" s="36">
        <f t="shared" si="115"/>
        <v>33672</v>
      </c>
      <c r="U52" s="36">
        <v>26801</v>
      </c>
      <c r="V52" s="36">
        <v>27056</v>
      </c>
      <c r="W52" s="36">
        <v>4243</v>
      </c>
      <c r="X52" s="36">
        <v>2567</v>
      </c>
      <c r="Y52" s="36"/>
      <c r="Z52" s="36"/>
      <c r="AA52" s="36"/>
      <c r="AB52" s="36"/>
      <c r="AC52" s="36">
        <v>4164</v>
      </c>
      <c r="AD52" s="36">
        <v>4303</v>
      </c>
      <c r="AE52" s="36">
        <v>-254</v>
      </c>
      <c r="AF52" s="36">
        <v>-254</v>
      </c>
      <c r="AG52" s="36">
        <f aca="true" t="shared" si="116" ref="AG52:AH55">SUM(AI52+AK52)</f>
        <v>52565</v>
      </c>
      <c r="AH52" s="36">
        <f t="shared" si="116"/>
        <v>55461</v>
      </c>
      <c r="AI52" s="36">
        <v>52565</v>
      </c>
      <c r="AJ52" s="36">
        <v>55461</v>
      </c>
      <c r="AK52" s="36"/>
      <c r="AL52" s="36"/>
      <c r="AM52" s="36">
        <f aca="true" t="shared" si="117" ref="AM52:AN59">SUM(AO52+AQ52+AS52+AU52)</f>
        <v>92</v>
      </c>
      <c r="AN52" s="36">
        <f t="shared" si="117"/>
        <v>294</v>
      </c>
      <c r="AO52" s="36"/>
      <c r="AP52" s="36"/>
      <c r="AQ52" s="36"/>
      <c r="AR52" s="36"/>
      <c r="AS52" s="36"/>
      <c r="AT52" s="36"/>
      <c r="AU52" s="36">
        <v>92</v>
      </c>
      <c r="AV52" s="36">
        <v>294</v>
      </c>
      <c r="AW52" s="36">
        <f aca="true" t="shared" si="118" ref="AW52:AX67">AY52+BK52+CG52+CM52+CW52</f>
        <v>105232</v>
      </c>
      <c r="AX52" s="36">
        <f t="shared" si="118"/>
        <v>109116</v>
      </c>
      <c r="AY52" s="36">
        <f aca="true" t="shared" si="119" ref="AY52:AZ67">SUM(BA52,BC52,BE52,BG52,BI52)</f>
        <v>0</v>
      </c>
      <c r="AZ52" s="36">
        <f t="shared" si="119"/>
        <v>0</v>
      </c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>
        <f aca="true" t="shared" si="120" ref="BK52:BL67">BM52+BS52+BY52+CE52</f>
        <v>28287</v>
      </c>
      <c r="BL52" s="36">
        <f t="shared" si="120"/>
        <v>30964</v>
      </c>
      <c r="BM52" s="36">
        <f aca="true" t="shared" si="121" ref="BM52:BN67">BO52+BQ52</f>
        <v>23930</v>
      </c>
      <c r="BN52" s="36">
        <f t="shared" si="121"/>
        <v>26152</v>
      </c>
      <c r="BO52" s="36">
        <v>58243</v>
      </c>
      <c r="BP52" s="36">
        <v>58830</v>
      </c>
      <c r="BQ52" s="36">
        <v>-34313</v>
      </c>
      <c r="BR52" s="36">
        <v>-32678</v>
      </c>
      <c r="BS52" s="36"/>
      <c r="BT52" s="36"/>
      <c r="BU52" s="36"/>
      <c r="BV52" s="36"/>
      <c r="BW52" s="36"/>
      <c r="BX52" s="36"/>
      <c r="BY52" s="36">
        <f aca="true" t="shared" si="122" ref="BY52:BZ67">CA52+CC52</f>
        <v>2642</v>
      </c>
      <c r="BZ52" s="36">
        <f t="shared" si="122"/>
        <v>2712</v>
      </c>
      <c r="CA52" s="36">
        <v>3346</v>
      </c>
      <c r="CB52" s="36">
        <v>3393</v>
      </c>
      <c r="CC52" s="37">
        <v>-704</v>
      </c>
      <c r="CD52" s="37">
        <v>-681</v>
      </c>
      <c r="CE52" s="36">
        <v>1715</v>
      </c>
      <c r="CF52" s="36">
        <v>2100</v>
      </c>
      <c r="CG52" s="36">
        <f aca="true" t="shared" si="123" ref="CG52:CH67">CI52+CK52</f>
        <v>25298</v>
      </c>
      <c r="CH52" s="36">
        <f t="shared" si="123"/>
        <v>26471</v>
      </c>
      <c r="CI52" s="36">
        <v>41112</v>
      </c>
      <c r="CJ52" s="36">
        <v>43389</v>
      </c>
      <c r="CK52" s="36">
        <v>-15814</v>
      </c>
      <c r="CL52" s="36">
        <v>-16918</v>
      </c>
      <c r="CM52" s="36">
        <f aca="true" t="shared" si="124" ref="CM52:CN67">CO52+CQ52+CS52+CU52</f>
        <v>51229</v>
      </c>
      <c r="CN52" s="36">
        <f t="shared" si="124"/>
        <v>51229</v>
      </c>
      <c r="CO52" s="36"/>
      <c r="CP52" s="36"/>
      <c r="CQ52" s="36">
        <v>51229</v>
      </c>
      <c r="CR52" s="36">
        <v>51229</v>
      </c>
      <c r="CS52" s="36"/>
      <c r="CT52" s="36"/>
      <c r="CU52" s="36"/>
      <c r="CV52" s="36"/>
      <c r="CW52" s="36">
        <f aca="true" t="shared" si="125" ref="CW52:CX67">CY52+DA52+DC52</f>
        <v>418</v>
      </c>
      <c r="CX52" s="36">
        <f t="shared" si="125"/>
        <v>452</v>
      </c>
      <c r="CY52" s="36">
        <v>395</v>
      </c>
      <c r="CZ52" s="36">
        <v>429</v>
      </c>
      <c r="DA52" s="36">
        <v>23</v>
      </c>
      <c r="DB52" s="36">
        <v>23</v>
      </c>
      <c r="DC52" s="36"/>
      <c r="DD52" s="36"/>
      <c r="DE52" s="36">
        <f aca="true" t="shared" si="126" ref="DE52:DF67">DG52+FA52</f>
        <v>263145</v>
      </c>
      <c r="DF52" s="36">
        <f t="shared" si="126"/>
        <v>286477</v>
      </c>
      <c r="DG52" s="36">
        <f aca="true" t="shared" si="127" ref="DG52:DH67">DI52+EG52</f>
        <v>67252</v>
      </c>
      <c r="DH52" s="36">
        <f t="shared" si="127"/>
        <v>95901</v>
      </c>
      <c r="DI52" s="36">
        <f aca="true" t="shared" si="128" ref="DI52:DJ67">DK52+DM52+DO52+DQ52+DS52+DU52+DW52+DY52+EA52+EC52+EE52</f>
        <v>66595</v>
      </c>
      <c r="DJ52" s="36">
        <f t="shared" si="128"/>
        <v>95260</v>
      </c>
      <c r="DK52" s="36"/>
      <c r="DL52" s="36"/>
      <c r="DM52" s="36">
        <v>6348</v>
      </c>
      <c r="DN52" s="36">
        <v>7504</v>
      </c>
      <c r="DO52" s="36">
        <v>1387</v>
      </c>
      <c r="DP52" s="36">
        <v>519</v>
      </c>
      <c r="DQ52" s="36">
        <v>12051</v>
      </c>
      <c r="DR52" s="36">
        <v>7606</v>
      </c>
      <c r="DS52" s="36">
        <v>4733</v>
      </c>
      <c r="DT52" s="36">
        <v>28869</v>
      </c>
      <c r="DU52" s="36">
        <v>1463</v>
      </c>
      <c r="DV52" s="36">
        <v>1159</v>
      </c>
      <c r="DW52" s="36"/>
      <c r="DX52" s="36"/>
      <c r="DY52" s="36">
        <v>7470</v>
      </c>
      <c r="DZ52" s="36">
        <v>7001</v>
      </c>
      <c r="EA52" s="36">
        <v>35233</v>
      </c>
      <c r="EB52" s="36">
        <v>37904</v>
      </c>
      <c r="EC52" s="36"/>
      <c r="ED52" s="36"/>
      <c r="EE52" s="36">
        <v>-2090</v>
      </c>
      <c r="EF52" s="36">
        <v>4698</v>
      </c>
      <c r="EG52" s="36">
        <f aca="true" t="shared" si="129" ref="EG52:EG67">EI52+EK52+EM52+EO52+EQ52+ES52+EU52+EW52+EY52</f>
        <v>657</v>
      </c>
      <c r="EH52" s="37">
        <f t="shared" si="94"/>
        <v>641</v>
      </c>
      <c r="EI52" s="36"/>
      <c r="EJ52" s="36"/>
      <c r="EK52" s="36"/>
      <c r="EL52" s="36"/>
      <c r="EM52" s="36">
        <v>657</v>
      </c>
      <c r="EN52" s="36">
        <v>641</v>
      </c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>
        <f aca="true" t="shared" si="130" ref="FA52:FB67">FC52+GC52</f>
        <v>195893</v>
      </c>
      <c r="FB52" s="36">
        <f t="shared" si="130"/>
        <v>190576</v>
      </c>
      <c r="FC52" s="36">
        <f aca="true" t="shared" si="131" ref="FC52:FD67">FE52+FG52+FI52+FK52+FM52+FO52+FQ52+FS52+FU52+FW52+FY52+GA52</f>
        <v>161664</v>
      </c>
      <c r="FD52" s="36">
        <f t="shared" si="131"/>
        <v>155136</v>
      </c>
      <c r="FE52" s="36">
        <v>135354</v>
      </c>
      <c r="FF52" s="36">
        <v>135354</v>
      </c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>
        <v>2112</v>
      </c>
      <c r="FT52" s="36">
        <v>2112</v>
      </c>
      <c r="FU52" s="36"/>
      <c r="FV52" s="36"/>
      <c r="FW52" s="36">
        <v>24198</v>
      </c>
      <c r="FX52" s="36">
        <v>17670</v>
      </c>
      <c r="FY52" s="36"/>
      <c r="FZ52" s="36"/>
      <c r="GA52" s="36"/>
      <c r="GB52" s="36"/>
      <c r="GC52" s="36">
        <f t="shared" si="62"/>
        <v>34229</v>
      </c>
      <c r="GD52" s="36">
        <f t="shared" si="63"/>
        <v>35440</v>
      </c>
      <c r="GE52" s="36"/>
      <c r="GF52" s="36"/>
      <c r="GG52" s="36">
        <v>4826</v>
      </c>
      <c r="GH52" s="36">
        <v>4863</v>
      </c>
      <c r="GI52" s="36">
        <v>29403</v>
      </c>
      <c r="GJ52" s="36">
        <v>30577</v>
      </c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67"/>
      <c r="GX52" s="67"/>
      <c r="GY52" s="67"/>
      <c r="GZ52" s="67"/>
      <c r="HA52" s="67"/>
      <c r="HB52" s="31">
        <f t="shared" si="109"/>
        <v>0</v>
      </c>
      <c r="HC52" s="31">
        <f t="shared" si="110"/>
        <v>0</v>
      </c>
    </row>
    <row r="53" spans="1:211" s="13" customFormat="1" ht="17.25" customHeight="1">
      <c r="A53" s="23">
        <v>36</v>
      </c>
      <c r="B53" s="24" t="s">
        <v>221</v>
      </c>
      <c r="C53" s="36">
        <f t="shared" si="111"/>
        <v>169170</v>
      </c>
      <c r="D53" s="36">
        <f t="shared" si="111"/>
        <v>232236</v>
      </c>
      <c r="E53" s="36">
        <f t="shared" si="112"/>
        <v>142094</v>
      </c>
      <c r="F53" s="36">
        <f t="shared" si="112"/>
        <v>204922</v>
      </c>
      <c r="G53" s="36">
        <f t="shared" si="113"/>
        <v>47526</v>
      </c>
      <c r="H53" s="36">
        <f t="shared" si="113"/>
        <v>58316</v>
      </c>
      <c r="I53" s="36">
        <v>16726</v>
      </c>
      <c r="J53" s="36">
        <v>42474</v>
      </c>
      <c r="K53" s="36">
        <v>30800</v>
      </c>
      <c r="L53" s="36">
        <v>15842</v>
      </c>
      <c r="M53" s="36">
        <f t="shared" si="114"/>
        <v>0</v>
      </c>
      <c r="N53" s="36">
        <f t="shared" si="114"/>
        <v>0</v>
      </c>
      <c r="O53" s="36"/>
      <c r="P53" s="36"/>
      <c r="Q53" s="36"/>
      <c r="R53" s="36"/>
      <c r="S53" s="36">
        <f t="shared" si="115"/>
        <v>71187</v>
      </c>
      <c r="T53" s="36">
        <f t="shared" si="115"/>
        <v>96310</v>
      </c>
      <c r="U53" s="36">
        <v>43061</v>
      </c>
      <c r="V53" s="36">
        <v>37041</v>
      </c>
      <c r="W53" s="36">
        <v>28627</v>
      </c>
      <c r="X53" s="36">
        <v>55357</v>
      </c>
      <c r="Y53" s="36"/>
      <c r="Z53" s="36"/>
      <c r="AA53" s="36"/>
      <c r="AB53" s="36"/>
      <c r="AC53" s="36">
        <v>524</v>
      </c>
      <c r="AD53" s="36">
        <v>4937</v>
      </c>
      <c r="AE53" s="36">
        <v>-1025</v>
      </c>
      <c r="AF53" s="36">
        <v>-1025</v>
      </c>
      <c r="AG53" s="36">
        <f t="shared" si="116"/>
        <v>283</v>
      </c>
      <c r="AH53" s="36">
        <f t="shared" si="116"/>
        <v>346</v>
      </c>
      <c r="AI53" s="36">
        <v>283</v>
      </c>
      <c r="AJ53" s="36">
        <v>346</v>
      </c>
      <c r="AK53" s="36"/>
      <c r="AL53" s="36"/>
      <c r="AM53" s="36">
        <f t="shared" si="117"/>
        <v>23098</v>
      </c>
      <c r="AN53" s="36">
        <f t="shared" si="117"/>
        <v>49950</v>
      </c>
      <c r="AO53" s="36"/>
      <c r="AP53" s="36"/>
      <c r="AQ53" s="36"/>
      <c r="AR53" s="36"/>
      <c r="AS53" s="36"/>
      <c r="AT53" s="36"/>
      <c r="AU53" s="36">
        <v>23098</v>
      </c>
      <c r="AV53" s="36">
        <v>49950</v>
      </c>
      <c r="AW53" s="36">
        <f t="shared" si="118"/>
        <v>27076</v>
      </c>
      <c r="AX53" s="36">
        <f t="shared" si="118"/>
        <v>27314</v>
      </c>
      <c r="AY53" s="36">
        <f t="shared" si="119"/>
        <v>2666</v>
      </c>
      <c r="AZ53" s="36">
        <f t="shared" si="119"/>
        <v>2666</v>
      </c>
      <c r="BA53" s="36"/>
      <c r="BB53" s="36"/>
      <c r="BC53" s="36"/>
      <c r="BD53" s="36"/>
      <c r="BE53" s="36"/>
      <c r="BF53" s="36"/>
      <c r="BG53" s="36">
        <v>2666</v>
      </c>
      <c r="BH53" s="36">
        <v>2666</v>
      </c>
      <c r="BI53" s="36"/>
      <c r="BJ53" s="36"/>
      <c r="BK53" s="36">
        <f t="shared" si="120"/>
        <v>4883</v>
      </c>
      <c r="BL53" s="36">
        <f t="shared" si="120"/>
        <v>3909</v>
      </c>
      <c r="BM53" s="36">
        <f t="shared" si="121"/>
        <v>4562</v>
      </c>
      <c r="BN53" s="36">
        <f t="shared" si="121"/>
        <v>3856</v>
      </c>
      <c r="BO53" s="36">
        <v>17345</v>
      </c>
      <c r="BP53" s="36">
        <v>15367</v>
      </c>
      <c r="BQ53" s="36">
        <v>-12783</v>
      </c>
      <c r="BR53" s="36">
        <v>-11511</v>
      </c>
      <c r="BS53" s="36">
        <v>0</v>
      </c>
      <c r="BT53" s="36">
        <v>0</v>
      </c>
      <c r="BU53" s="36"/>
      <c r="BV53" s="36"/>
      <c r="BW53" s="36"/>
      <c r="BX53" s="36"/>
      <c r="BY53" s="36">
        <f>CA53+CC53</f>
        <v>89</v>
      </c>
      <c r="BZ53" s="36">
        <f t="shared" si="122"/>
        <v>0</v>
      </c>
      <c r="CA53" s="36">
        <v>260</v>
      </c>
      <c r="CB53" s="36">
        <v>174</v>
      </c>
      <c r="CC53" s="37">
        <v>-171</v>
      </c>
      <c r="CD53" s="37">
        <v>-174</v>
      </c>
      <c r="CE53" s="36">
        <v>232</v>
      </c>
      <c r="CF53" s="36">
        <v>53</v>
      </c>
      <c r="CG53" s="36">
        <f t="shared" si="123"/>
        <v>16700</v>
      </c>
      <c r="CH53" s="36">
        <f t="shared" si="123"/>
        <v>16972</v>
      </c>
      <c r="CI53" s="36">
        <v>27675</v>
      </c>
      <c r="CJ53" s="36">
        <v>28274</v>
      </c>
      <c r="CK53" s="36">
        <v>-10975</v>
      </c>
      <c r="CL53" s="36">
        <v>-11302</v>
      </c>
      <c r="CM53" s="36">
        <f t="shared" si="124"/>
        <v>414</v>
      </c>
      <c r="CN53" s="36">
        <f t="shared" si="124"/>
        <v>609</v>
      </c>
      <c r="CO53" s="36"/>
      <c r="CP53" s="36"/>
      <c r="CQ53" s="36">
        <v>750</v>
      </c>
      <c r="CR53" s="36">
        <v>750</v>
      </c>
      <c r="CS53" s="36"/>
      <c r="CT53" s="36"/>
      <c r="CU53" s="36">
        <v>-336</v>
      </c>
      <c r="CV53" s="36">
        <v>-141</v>
      </c>
      <c r="CW53" s="36">
        <f t="shared" si="125"/>
        <v>2413</v>
      </c>
      <c r="CX53" s="36">
        <f t="shared" si="125"/>
        <v>3158</v>
      </c>
      <c r="CY53" s="36">
        <v>2413</v>
      </c>
      <c r="CZ53" s="36">
        <v>3158</v>
      </c>
      <c r="DA53" s="36"/>
      <c r="DB53" s="36"/>
      <c r="DC53" s="36"/>
      <c r="DD53" s="36"/>
      <c r="DE53" s="36">
        <f t="shared" si="126"/>
        <v>169170</v>
      </c>
      <c r="DF53" s="36">
        <f t="shared" si="126"/>
        <v>232236</v>
      </c>
      <c r="DG53" s="36">
        <f t="shared" si="127"/>
        <v>96230</v>
      </c>
      <c r="DH53" s="36">
        <f t="shared" si="127"/>
        <v>147565</v>
      </c>
      <c r="DI53" s="36">
        <f t="shared" si="128"/>
        <v>86354</v>
      </c>
      <c r="DJ53" s="36">
        <f t="shared" si="128"/>
        <v>127790</v>
      </c>
      <c r="DK53" s="36"/>
      <c r="DL53" s="36"/>
      <c r="DM53" s="36">
        <v>44895</v>
      </c>
      <c r="DN53" s="36">
        <v>68951</v>
      </c>
      <c r="DO53" s="36">
        <v>4927</v>
      </c>
      <c r="DP53" s="36">
        <v>21548</v>
      </c>
      <c r="DQ53" s="36">
        <v>10464</v>
      </c>
      <c r="DR53" s="36">
        <v>8337</v>
      </c>
      <c r="DS53" s="36">
        <v>20885</v>
      </c>
      <c r="DT53" s="36">
        <v>26376</v>
      </c>
      <c r="DU53" s="36"/>
      <c r="DV53" s="36">
        <v>131</v>
      </c>
      <c r="DW53" s="36"/>
      <c r="DX53" s="36"/>
      <c r="DY53" s="36"/>
      <c r="DZ53" s="36"/>
      <c r="EA53" s="36"/>
      <c r="EB53" s="36">
        <v>10</v>
      </c>
      <c r="EC53" s="36"/>
      <c r="ED53" s="36"/>
      <c r="EE53" s="36">
        <v>5183</v>
      </c>
      <c r="EF53" s="36">
        <v>2437</v>
      </c>
      <c r="EG53" s="36">
        <f t="shared" si="129"/>
        <v>9876</v>
      </c>
      <c r="EH53" s="37">
        <f t="shared" si="94"/>
        <v>19775</v>
      </c>
      <c r="EI53" s="36"/>
      <c r="EJ53" s="36"/>
      <c r="EK53" s="36"/>
      <c r="EL53" s="36"/>
      <c r="EM53" s="36">
        <v>8067</v>
      </c>
      <c r="EN53" s="36">
        <v>18762</v>
      </c>
      <c r="EO53" s="36"/>
      <c r="EP53" s="36"/>
      <c r="EQ53" s="36"/>
      <c r="ER53" s="36"/>
      <c r="ES53" s="36"/>
      <c r="ET53" s="36"/>
      <c r="EU53" s="36"/>
      <c r="EV53" s="36"/>
      <c r="EW53" s="36">
        <v>958</v>
      </c>
      <c r="EX53" s="36">
        <v>1013</v>
      </c>
      <c r="EY53" s="36">
        <v>851</v>
      </c>
      <c r="EZ53" s="36"/>
      <c r="FA53" s="36">
        <f t="shared" si="130"/>
        <v>72940</v>
      </c>
      <c r="FB53" s="36">
        <f t="shared" si="130"/>
        <v>84671</v>
      </c>
      <c r="FC53" s="36">
        <f t="shared" si="131"/>
        <v>52194</v>
      </c>
      <c r="FD53" s="36">
        <f t="shared" si="131"/>
        <v>52429</v>
      </c>
      <c r="FE53" s="36">
        <v>37615</v>
      </c>
      <c r="FF53" s="36">
        <v>38637</v>
      </c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>
        <v>2209</v>
      </c>
      <c r="FT53" s="36">
        <v>5671</v>
      </c>
      <c r="FU53" s="36"/>
      <c r="FV53" s="36"/>
      <c r="FW53" s="36">
        <v>12370</v>
      </c>
      <c r="FX53" s="36">
        <v>8121</v>
      </c>
      <c r="FY53" s="36"/>
      <c r="FZ53" s="36"/>
      <c r="GA53" s="36"/>
      <c r="GB53" s="36"/>
      <c r="GC53" s="36">
        <f t="shared" si="62"/>
        <v>20746</v>
      </c>
      <c r="GD53" s="36">
        <f t="shared" si="63"/>
        <v>32242</v>
      </c>
      <c r="GE53" s="36"/>
      <c r="GF53" s="36"/>
      <c r="GG53" s="36">
        <v>3704</v>
      </c>
      <c r="GH53" s="36">
        <v>14928</v>
      </c>
      <c r="GI53" s="36">
        <v>17042</v>
      </c>
      <c r="GJ53" s="36">
        <v>17314</v>
      </c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67"/>
      <c r="GX53" s="67"/>
      <c r="GY53" s="67"/>
      <c r="GZ53" s="67"/>
      <c r="HA53" s="67"/>
      <c r="HB53" s="31">
        <f t="shared" si="109"/>
        <v>0</v>
      </c>
      <c r="HC53" s="31">
        <f t="shared" si="110"/>
        <v>0</v>
      </c>
    </row>
    <row r="54" spans="1:211" s="13" customFormat="1" ht="17.25" customHeight="1">
      <c r="A54" s="23">
        <v>37</v>
      </c>
      <c r="B54" s="24" t="s">
        <v>222</v>
      </c>
      <c r="C54" s="36">
        <f t="shared" si="111"/>
        <v>119206</v>
      </c>
      <c r="D54" s="36">
        <f t="shared" si="111"/>
        <v>114527</v>
      </c>
      <c r="E54" s="36">
        <f t="shared" si="112"/>
        <v>63045</v>
      </c>
      <c r="F54" s="36">
        <f t="shared" si="112"/>
        <v>52013</v>
      </c>
      <c r="G54" s="36">
        <f t="shared" si="113"/>
        <v>61921</v>
      </c>
      <c r="H54" s="36">
        <f t="shared" si="113"/>
        <v>50982</v>
      </c>
      <c r="I54" s="36">
        <v>61921</v>
      </c>
      <c r="J54" s="36">
        <v>50982</v>
      </c>
      <c r="K54" s="36">
        <v>0</v>
      </c>
      <c r="L54" s="36">
        <v>0</v>
      </c>
      <c r="M54" s="36">
        <f t="shared" si="114"/>
        <v>0</v>
      </c>
      <c r="N54" s="36">
        <f t="shared" si="114"/>
        <v>0</v>
      </c>
      <c r="O54" s="36">
        <v>0</v>
      </c>
      <c r="P54" s="36">
        <v>0</v>
      </c>
      <c r="Q54" s="36">
        <v>0</v>
      </c>
      <c r="R54" s="36">
        <v>0</v>
      </c>
      <c r="S54" s="36">
        <f t="shared" si="115"/>
        <v>539</v>
      </c>
      <c r="T54" s="36">
        <f t="shared" si="115"/>
        <v>466</v>
      </c>
      <c r="U54" s="36">
        <v>539</v>
      </c>
      <c r="V54" s="36">
        <v>94</v>
      </c>
      <c r="W54" s="36">
        <v>0</v>
      </c>
      <c r="X54" s="36">
        <v>372</v>
      </c>
      <c r="Y54" s="36">
        <v>0</v>
      </c>
      <c r="Z54" s="36">
        <v>0</v>
      </c>
      <c r="AA54" s="36">
        <v>0</v>
      </c>
      <c r="AB54" s="36">
        <v>0</v>
      </c>
      <c r="AC54" s="36"/>
      <c r="AD54" s="36">
        <v>0</v>
      </c>
      <c r="AE54" s="36">
        <v>0</v>
      </c>
      <c r="AF54" s="36">
        <v>0</v>
      </c>
      <c r="AG54" s="36">
        <f t="shared" si="116"/>
        <v>363</v>
      </c>
      <c r="AH54" s="36">
        <f t="shared" si="116"/>
        <v>221</v>
      </c>
      <c r="AI54" s="36">
        <v>363</v>
      </c>
      <c r="AJ54" s="36">
        <v>221</v>
      </c>
      <c r="AK54" s="36">
        <v>0</v>
      </c>
      <c r="AL54" s="36">
        <v>0</v>
      </c>
      <c r="AM54" s="36">
        <f t="shared" si="117"/>
        <v>222</v>
      </c>
      <c r="AN54" s="36">
        <f t="shared" si="117"/>
        <v>344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222</v>
      </c>
      <c r="AV54" s="36">
        <v>344</v>
      </c>
      <c r="AW54" s="36">
        <f t="shared" si="118"/>
        <v>56161</v>
      </c>
      <c r="AX54" s="36">
        <f t="shared" si="118"/>
        <v>62514</v>
      </c>
      <c r="AY54" s="36">
        <f t="shared" si="119"/>
        <v>27443</v>
      </c>
      <c r="AZ54" s="36">
        <f t="shared" si="119"/>
        <v>26677</v>
      </c>
      <c r="BA54" s="36">
        <v>19994</v>
      </c>
      <c r="BB54" s="36">
        <v>22481</v>
      </c>
      <c r="BC54" s="36">
        <v>0</v>
      </c>
      <c r="BD54" s="36">
        <v>0</v>
      </c>
      <c r="BE54" s="36">
        <v>0</v>
      </c>
      <c r="BF54" s="36">
        <v>0</v>
      </c>
      <c r="BG54" s="36">
        <v>7449</v>
      </c>
      <c r="BH54" s="36">
        <v>4196</v>
      </c>
      <c r="BI54" s="36">
        <v>0</v>
      </c>
      <c r="BJ54" s="36">
        <v>0</v>
      </c>
      <c r="BK54" s="36">
        <f t="shared" si="120"/>
        <v>7019</v>
      </c>
      <c r="BL54" s="36">
        <f t="shared" si="120"/>
        <v>12919</v>
      </c>
      <c r="BM54" s="36">
        <f t="shared" si="121"/>
        <v>5655</v>
      </c>
      <c r="BN54" s="36">
        <f t="shared" si="121"/>
        <v>4994</v>
      </c>
      <c r="BO54" s="36">
        <v>11552</v>
      </c>
      <c r="BP54" s="36">
        <v>10800</v>
      </c>
      <c r="BQ54" s="36">
        <v>-5897</v>
      </c>
      <c r="BR54" s="36">
        <v>-5806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f aca="true" t="shared" si="132" ref="BY54:BZ69">CA54+CC54</f>
        <v>1364</v>
      </c>
      <c r="BZ54" s="36">
        <f t="shared" si="122"/>
        <v>1364</v>
      </c>
      <c r="CA54" s="36">
        <v>1364</v>
      </c>
      <c r="CB54" s="36">
        <v>1364</v>
      </c>
      <c r="CC54" s="37">
        <v>0</v>
      </c>
      <c r="CD54" s="37">
        <v>0</v>
      </c>
      <c r="CE54" s="36">
        <v>0</v>
      </c>
      <c r="CF54" s="36">
        <v>6561</v>
      </c>
      <c r="CG54" s="36">
        <f t="shared" si="123"/>
        <v>21692</v>
      </c>
      <c r="CH54" s="36">
        <f t="shared" si="123"/>
        <v>22436</v>
      </c>
      <c r="CI54" s="36">
        <v>27855</v>
      </c>
      <c r="CJ54" s="36">
        <v>29314</v>
      </c>
      <c r="CK54" s="36">
        <v>-6163</v>
      </c>
      <c r="CL54" s="36">
        <v>-6878</v>
      </c>
      <c r="CM54" s="36">
        <f t="shared" si="124"/>
        <v>0</v>
      </c>
      <c r="CN54" s="36">
        <f t="shared" si="124"/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</v>
      </c>
      <c r="CV54" s="36">
        <v>0</v>
      </c>
      <c r="CW54" s="36">
        <f t="shared" si="125"/>
        <v>7</v>
      </c>
      <c r="CX54" s="36">
        <f t="shared" si="125"/>
        <v>482</v>
      </c>
      <c r="CY54" s="36">
        <v>0</v>
      </c>
      <c r="CZ54" s="36">
        <v>474</v>
      </c>
      <c r="DA54" s="36">
        <v>0</v>
      </c>
      <c r="DB54" s="36">
        <v>0</v>
      </c>
      <c r="DC54" s="36">
        <v>7</v>
      </c>
      <c r="DD54" s="36">
        <v>8</v>
      </c>
      <c r="DE54" s="36">
        <f t="shared" si="126"/>
        <v>119206</v>
      </c>
      <c r="DF54" s="36">
        <f t="shared" si="126"/>
        <v>114527</v>
      </c>
      <c r="DG54" s="36">
        <f t="shared" si="127"/>
        <v>36291</v>
      </c>
      <c r="DH54" s="36">
        <f t="shared" si="127"/>
        <v>26989</v>
      </c>
      <c r="DI54" s="36">
        <f t="shared" si="128"/>
        <v>25799</v>
      </c>
      <c r="DJ54" s="36">
        <f t="shared" si="128"/>
        <v>16083</v>
      </c>
      <c r="DK54" s="36">
        <v>0</v>
      </c>
      <c r="DL54" s="36">
        <v>0</v>
      </c>
      <c r="DM54" s="36">
        <v>89</v>
      </c>
      <c r="DN54" s="36">
        <v>109</v>
      </c>
      <c r="DO54" s="36">
        <v>5693</v>
      </c>
      <c r="DP54" s="36">
        <v>4658</v>
      </c>
      <c r="DQ54" s="36">
        <v>1366</v>
      </c>
      <c r="DR54" s="36">
        <v>1323</v>
      </c>
      <c r="DS54" s="36">
        <v>8951</v>
      </c>
      <c r="DT54" s="36">
        <v>2843</v>
      </c>
      <c r="DU54" s="36">
        <v>0</v>
      </c>
      <c r="DV54" s="36">
        <v>0</v>
      </c>
      <c r="DW54" s="36">
        <v>0</v>
      </c>
      <c r="DX54" s="36">
        <v>0</v>
      </c>
      <c r="DY54" s="36">
        <v>0</v>
      </c>
      <c r="DZ54" s="36">
        <v>0</v>
      </c>
      <c r="EA54" s="36">
        <v>19</v>
      </c>
      <c r="EB54" s="36">
        <v>77</v>
      </c>
      <c r="EC54" s="36">
        <v>0</v>
      </c>
      <c r="ED54" s="36">
        <v>0</v>
      </c>
      <c r="EE54" s="36">
        <v>9681</v>
      </c>
      <c r="EF54" s="36">
        <v>7073</v>
      </c>
      <c r="EG54" s="36">
        <f t="shared" si="129"/>
        <v>10492</v>
      </c>
      <c r="EH54" s="37">
        <f t="shared" si="94"/>
        <v>10906</v>
      </c>
      <c r="EI54" s="36">
        <v>532</v>
      </c>
      <c r="EJ54" s="36">
        <v>189</v>
      </c>
      <c r="EK54" s="36">
        <v>0</v>
      </c>
      <c r="EL54" s="36">
        <v>0</v>
      </c>
      <c r="EM54" s="36">
        <v>7763</v>
      </c>
      <c r="EN54" s="36">
        <v>8316</v>
      </c>
      <c r="EO54" s="36">
        <v>2097</v>
      </c>
      <c r="EP54" s="36">
        <v>2401</v>
      </c>
      <c r="EQ54" s="36">
        <v>0</v>
      </c>
      <c r="ER54" s="36">
        <v>0</v>
      </c>
      <c r="ES54" s="36">
        <v>0</v>
      </c>
      <c r="ET54" s="36">
        <v>0</v>
      </c>
      <c r="EU54" s="36">
        <v>0</v>
      </c>
      <c r="EV54" s="36">
        <v>0</v>
      </c>
      <c r="EW54" s="36">
        <v>0</v>
      </c>
      <c r="EX54" s="36">
        <v>0</v>
      </c>
      <c r="EY54" s="36">
        <v>100</v>
      </c>
      <c r="EZ54" s="36">
        <v>0</v>
      </c>
      <c r="FA54" s="36">
        <f t="shared" si="130"/>
        <v>82915</v>
      </c>
      <c r="FB54" s="36">
        <f t="shared" si="130"/>
        <v>87538</v>
      </c>
      <c r="FC54" s="36">
        <f t="shared" si="131"/>
        <v>65741</v>
      </c>
      <c r="FD54" s="36">
        <f t="shared" si="131"/>
        <v>69400</v>
      </c>
      <c r="FE54" s="36">
        <v>47931</v>
      </c>
      <c r="FF54" s="36">
        <v>47554</v>
      </c>
      <c r="FG54" s="36">
        <v>0</v>
      </c>
      <c r="FH54" s="36">
        <v>0</v>
      </c>
      <c r="FI54" s="36">
        <v>0</v>
      </c>
      <c r="FJ54" s="36">
        <v>0</v>
      </c>
      <c r="FK54" s="36">
        <v>0</v>
      </c>
      <c r="FL54" s="36">
        <v>0</v>
      </c>
      <c r="FM54" s="36">
        <v>0</v>
      </c>
      <c r="FN54" s="36">
        <v>0</v>
      </c>
      <c r="FO54" s="36">
        <v>0</v>
      </c>
      <c r="FP54" s="36">
        <v>0</v>
      </c>
      <c r="FQ54" s="36">
        <v>0</v>
      </c>
      <c r="FR54" s="36">
        <v>0</v>
      </c>
      <c r="FS54" s="36">
        <v>1919</v>
      </c>
      <c r="FT54" s="36">
        <v>1451</v>
      </c>
      <c r="FU54" s="36">
        <v>0</v>
      </c>
      <c r="FV54" s="36">
        <v>0</v>
      </c>
      <c r="FW54" s="36">
        <v>15891</v>
      </c>
      <c r="FX54" s="36">
        <v>13200</v>
      </c>
      <c r="FY54" s="36">
        <v>0</v>
      </c>
      <c r="FZ54" s="36">
        <v>7195</v>
      </c>
      <c r="GA54" s="36">
        <v>0</v>
      </c>
      <c r="GB54" s="36">
        <v>0</v>
      </c>
      <c r="GC54" s="36">
        <f t="shared" si="62"/>
        <v>17174</v>
      </c>
      <c r="GD54" s="36">
        <f t="shared" si="63"/>
        <v>18138</v>
      </c>
      <c r="GE54" s="36"/>
      <c r="GF54" s="36"/>
      <c r="GG54" s="36">
        <v>17146</v>
      </c>
      <c r="GH54" s="36">
        <v>18101</v>
      </c>
      <c r="GI54" s="36">
        <v>28</v>
      </c>
      <c r="GJ54" s="36">
        <v>37</v>
      </c>
      <c r="GK54" s="36">
        <v>0</v>
      </c>
      <c r="GL54" s="36">
        <v>0</v>
      </c>
      <c r="GM54" s="36">
        <v>0</v>
      </c>
      <c r="GN54" s="36">
        <v>0</v>
      </c>
      <c r="GO54" s="36">
        <v>0</v>
      </c>
      <c r="GP54" s="36">
        <v>0</v>
      </c>
      <c r="GQ54" s="36">
        <v>373</v>
      </c>
      <c r="GR54" s="36">
        <v>383</v>
      </c>
      <c r="GS54" s="36">
        <v>0</v>
      </c>
      <c r="GT54" s="36">
        <v>0</v>
      </c>
      <c r="GU54" s="36">
        <v>0</v>
      </c>
      <c r="GV54" s="36">
        <v>0</v>
      </c>
      <c r="GW54" s="67"/>
      <c r="GX54" s="67"/>
      <c r="GY54" s="67"/>
      <c r="GZ54" s="67"/>
      <c r="HA54" s="67"/>
      <c r="HB54" s="31">
        <f t="shared" si="109"/>
        <v>0</v>
      </c>
      <c r="HC54" s="31">
        <f t="shared" si="110"/>
        <v>0</v>
      </c>
    </row>
    <row r="55" spans="1:211" s="13" customFormat="1" ht="17.25" customHeight="1">
      <c r="A55" s="23">
        <v>38</v>
      </c>
      <c r="B55" s="24" t="s">
        <v>223</v>
      </c>
      <c r="C55" s="36">
        <f t="shared" si="111"/>
        <v>95891</v>
      </c>
      <c r="D55" s="36">
        <f t="shared" si="111"/>
        <v>96639</v>
      </c>
      <c r="E55" s="36">
        <f t="shared" si="112"/>
        <v>76855</v>
      </c>
      <c r="F55" s="36">
        <f t="shared" si="112"/>
        <v>76971</v>
      </c>
      <c r="G55" s="36">
        <f t="shared" si="113"/>
        <v>24295</v>
      </c>
      <c r="H55" s="36">
        <f t="shared" si="113"/>
        <v>35596</v>
      </c>
      <c r="I55" s="36">
        <v>2815</v>
      </c>
      <c r="J55" s="36">
        <v>4653</v>
      </c>
      <c r="K55" s="36">
        <v>21480</v>
      </c>
      <c r="L55" s="36">
        <v>30943</v>
      </c>
      <c r="M55" s="36">
        <f t="shared" si="114"/>
        <v>0</v>
      </c>
      <c r="N55" s="36">
        <f t="shared" si="114"/>
        <v>0</v>
      </c>
      <c r="O55" s="36">
        <v>0</v>
      </c>
      <c r="P55" s="36">
        <v>0</v>
      </c>
      <c r="Q55" s="36">
        <v>0</v>
      </c>
      <c r="R55" s="36">
        <v>0</v>
      </c>
      <c r="S55" s="36">
        <f t="shared" si="115"/>
        <v>33645</v>
      </c>
      <c r="T55" s="36">
        <f t="shared" si="115"/>
        <v>8389</v>
      </c>
      <c r="U55" s="36">
        <v>32971</v>
      </c>
      <c r="V55" s="36">
        <v>5938</v>
      </c>
      <c r="W55" s="36">
        <v>223</v>
      </c>
      <c r="X55" s="36">
        <v>1708</v>
      </c>
      <c r="Y55" s="36">
        <v>0</v>
      </c>
      <c r="Z55" s="36">
        <v>0</v>
      </c>
      <c r="AA55" s="36">
        <v>0</v>
      </c>
      <c r="AB55" s="36">
        <v>0</v>
      </c>
      <c r="AC55" s="36">
        <v>451</v>
      </c>
      <c r="AD55" s="36">
        <v>743</v>
      </c>
      <c r="AE55" s="36">
        <v>0</v>
      </c>
      <c r="AF55" s="36">
        <v>0</v>
      </c>
      <c r="AG55" s="36">
        <f t="shared" si="116"/>
        <v>13081</v>
      </c>
      <c r="AH55" s="36">
        <f t="shared" si="116"/>
        <v>22942</v>
      </c>
      <c r="AI55" s="36">
        <v>13081</v>
      </c>
      <c r="AJ55" s="36">
        <v>22942</v>
      </c>
      <c r="AK55" s="36">
        <v>0</v>
      </c>
      <c r="AL55" s="36">
        <v>0</v>
      </c>
      <c r="AM55" s="36">
        <f t="shared" si="117"/>
        <v>5834</v>
      </c>
      <c r="AN55" s="36">
        <f t="shared" si="117"/>
        <v>10044</v>
      </c>
      <c r="AO55" s="36">
        <v>0</v>
      </c>
      <c r="AP55" s="36">
        <v>0</v>
      </c>
      <c r="AQ55" s="36">
        <v>346</v>
      </c>
      <c r="AR55" s="36">
        <v>834</v>
      </c>
      <c r="AS55" s="36"/>
      <c r="AT55" s="36"/>
      <c r="AU55" s="36">
        <v>5488</v>
      </c>
      <c r="AV55" s="36">
        <v>9210</v>
      </c>
      <c r="AW55" s="36">
        <f t="shared" si="118"/>
        <v>19036</v>
      </c>
      <c r="AX55" s="36">
        <f t="shared" si="118"/>
        <v>19668</v>
      </c>
      <c r="AY55" s="36">
        <f t="shared" si="119"/>
        <v>0</v>
      </c>
      <c r="AZ55" s="36">
        <f t="shared" si="119"/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f t="shared" si="120"/>
        <v>9538</v>
      </c>
      <c r="BL55" s="36">
        <f t="shared" si="120"/>
        <v>10354</v>
      </c>
      <c r="BM55" s="36">
        <f t="shared" si="121"/>
        <v>8243</v>
      </c>
      <c r="BN55" s="36">
        <f t="shared" si="121"/>
        <v>9669</v>
      </c>
      <c r="BO55" s="36">
        <v>20447</v>
      </c>
      <c r="BP55" s="36">
        <v>20679</v>
      </c>
      <c r="BQ55" s="36">
        <v>-12204</v>
      </c>
      <c r="BR55" s="36">
        <v>-11010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f t="shared" si="132"/>
        <v>0</v>
      </c>
      <c r="BZ55" s="36">
        <f t="shared" si="122"/>
        <v>8</v>
      </c>
      <c r="CA55" s="36">
        <v>0</v>
      </c>
      <c r="CB55" s="36">
        <v>12</v>
      </c>
      <c r="CC55" s="37">
        <v>0</v>
      </c>
      <c r="CD55" s="37">
        <v>-4</v>
      </c>
      <c r="CE55" s="36">
        <v>1295</v>
      </c>
      <c r="CF55" s="36">
        <v>677</v>
      </c>
      <c r="CG55" s="36">
        <f t="shared" si="123"/>
        <v>8586</v>
      </c>
      <c r="CH55" s="36">
        <f t="shared" si="123"/>
        <v>8609</v>
      </c>
      <c r="CI55" s="36">
        <v>9217</v>
      </c>
      <c r="CJ55" s="36">
        <v>9241</v>
      </c>
      <c r="CK55" s="36">
        <v>-631</v>
      </c>
      <c r="CL55" s="36">
        <v>-632</v>
      </c>
      <c r="CM55" s="36">
        <f t="shared" si="124"/>
        <v>650</v>
      </c>
      <c r="CN55" s="36">
        <f t="shared" si="124"/>
        <v>650</v>
      </c>
      <c r="CO55" s="36">
        <v>0</v>
      </c>
      <c r="CP55" s="36">
        <v>0</v>
      </c>
      <c r="CQ55" s="36">
        <v>0</v>
      </c>
      <c r="CR55" s="36">
        <v>0</v>
      </c>
      <c r="CS55" s="36">
        <v>650</v>
      </c>
      <c r="CT55" s="36">
        <v>650</v>
      </c>
      <c r="CU55" s="36">
        <v>0</v>
      </c>
      <c r="CV55" s="36">
        <v>0</v>
      </c>
      <c r="CW55" s="36">
        <f t="shared" si="125"/>
        <v>262</v>
      </c>
      <c r="CX55" s="36">
        <f t="shared" si="125"/>
        <v>55</v>
      </c>
      <c r="CY55" s="36">
        <v>262</v>
      </c>
      <c r="CZ55" s="36">
        <v>55</v>
      </c>
      <c r="DA55" s="36">
        <v>0</v>
      </c>
      <c r="DB55" s="36">
        <v>0</v>
      </c>
      <c r="DC55" s="36">
        <v>0</v>
      </c>
      <c r="DD55" s="36">
        <v>0</v>
      </c>
      <c r="DE55" s="36">
        <f t="shared" si="126"/>
        <v>95891</v>
      </c>
      <c r="DF55" s="36">
        <f t="shared" si="126"/>
        <v>96639</v>
      </c>
      <c r="DG55" s="36">
        <f t="shared" si="127"/>
        <v>50357</v>
      </c>
      <c r="DH55" s="36">
        <f t="shared" si="127"/>
        <v>57430</v>
      </c>
      <c r="DI55" s="36">
        <f t="shared" si="128"/>
        <v>49074</v>
      </c>
      <c r="DJ55" s="36">
        <f t="shared" si="128"/>
        <v>55846</v>
      </c>
      <c r="DK55" s="36">
        <v>0</v>
      </c>
      <c r="DL55" s="36">
        <v>7155</v>
      </c>
      <c r="DM55" s="36">
        <v>21889</v>
      </c>
      <c r="DN55" s="36">
        <v>20983</v>
      </c>
      <c r="DO55" s="36">
        <v>6658</v>
      </c>
      <c r="DP55" s="36">
        <v>12260</v>
      </c>
      <c r="DQ55" s="36">
        <v>387</v>
      </c>
      <c r="DR55" s="36">
        <v>505</v>
      </c>
      <c r="DS55" s="36">
        <v>9953</v>
      </c>
      <c r="DT55" s="36">
        <v>7154</v>
      </c>
      <c r="DU55" s="36">
        <v>161</v>
      </c>
      <c r="DV55" s="36">
        <v>0</v>
      </c>
      <c r="DW55" s="36">
        <v>0</v>
      </c>
      <c r="DX55" s="36">
        <v>0</v>
      </c>
      <c r="DY55" s="36">
        <v>0</v>
      </c>
      <c r="DZ55" s="36">
        <v>0</v>
      </c>
      <c r="EA55" s="36">
        <v>13542</v>
      </c>
      <c r="EB55" s="36">
        <v>6619</v>
      </c>
      <c r="EC55" s="36">
        <v>0</v>
      </c>
      <c r="ED55" s="36">
        <v>0</v>
      </c>
      <c r="EE55" s="36">
        <v>-3516</v>
      </c>
      <c r="EF55" s="36">
        <v>1170</v>
      </c>
      <c r="EG55" s="36">
        <f t="shared" si="129"/>
        <v>1283</v>
      </c>
      <c r="EH55" s="37">
        <f t="shared" si="94"/>
        <v>1584</v>
      </c>
      <c r="EI55" s="36">
        <v>0</v>
      </c>
      <c r="EJ55" s="36">
        <v>0</v>
      </c>
      <c r="EK55" s="36">
        <v>0</v>
      </c>
      <c r="EL55" s="36">
        <v>0</v>
      </c>
      <c r="EM55" s="36">
        <v>0</v>
      </c>
      <c r="EN55" s="36">
        <v>0</v>
      </c>
      <c r="EO55" s="36">
        <v>0</v>
      </c>
      <c r="EP55" s="36">
        <v>0</v>
      </c>
      <c r="EQ55" s="36">
        <v>0</v>
      </c>
      <c r="ER55" s="36">
        <v>0</v>
      </c>
      <c r="ES55" s="36">
        <v>0</v>
      </c>
      <c r="ET55" s="36">
        <v>0</v>
      </c>
      <c r="EU55" s="36">
        <v>0</v>
      </c>
      <c r="EV55" s="36">
        <v>0</v>
      </c>
      <c r="EW55" s="36">
        <v>1033</v>
      </c>
      <c r="EX55" s="36">
        <v>1584</v>
      </c>
      <c r="EY55" s="36">
        <v>250</v>
      </c>
      <c r="EZ55" s="36">
        <v>0</v>
      </c>
      <c r="FA55" s="36">
        <f t="shared" si="130"/>
        <v>45534</v>
      </c>
      <c r="FB55" s="36">
        <f t="shared" si="130"/>
        <v>39209</v>
      </c>
      <c r="FC55" s="36">
        <f t="shared" si="131"/>
        <v>45186</v>
      </c>
      <c r="FD55" s="36">
        <f t="shared" si="131"/>
        <v>38930</v>
      </c>
      <c r="FE55" s="36">
        <v>15202</v>
      </c>
      <c r="FF55" s="36">
        <v>15202</v>
      </c>
      <c r="FG55" s="36">
        <v>0</v>
      </c>
      <c r="FH55" s="36">
        <v>0</v>
      </c>
      <c r="FI55" s="36">
        <v>14950</v>
      </c>
      <c r="FJ55" s="36">
        <v>13346</v>
      </c>
      <c r="FK55" s="36">
        <v>0</v>
      </c>
      <c r="FL55" s="36">
        <v>0</v>
      </c>
      <c r="FM55" s="36">
        <v>0</v>
      </c>
      <c r="FN55" s="36">
        <v>0</v>
      </c>
      <c r="FO55" s="36">
        <v>0</v>
      </c>
      <c r="FP55" s="36">
        <v>0</v>
      </c>
      <c r="FQ55" s="36">
        <v>0</v>
      </c>
      <c r="FR55" s="36">
        <v>1621</v>
      </c>
      <c r="FS55" s="36">
        <v>2607</v>
      </c>
      <c r="FT55" s="36">
        <v>2610</v>
      </c>
      <c r="FU55" s="36">
        <v>0</v>
      </c>
      <c r="FV55" s="36">
        <v>0</v>
      </c>
      <c r="FW55" s="36">
        <v>12427</v>
      </c>
      <c r="FX55" s="36">
        <v>6151</v>
      </c>
      <c r="FY55" s="36">
        <v>0</v>
      </c>
      <c r="FZ55" s="36">
        <v>0</v>
      </c>
      <c r="GA55" s="36">
        <v>0</v>
      </c>
      <c r="GB55" s="36">
        <v>0</v>
      </c>
      <c r="GC55" s="36">
        <f t="shared" si="62"/>
        <v>348</v>
      </c>
      <c r="GD55" s="36">
        <f t="shared" si="63"/>
        <v>279</v>
      </c>
      <c r="GE55" s="36">
        <v>0</v>
      </c>
      <c r="GF55" s="36">
        <v>0</v>
      </c>
      <c r="GG55" s="36">
        <v>348</v>
      </c>
      <c r="GH55" s="36">
        <v>279</v>
      </c>
      <c r="GI55" s="36">
        <v>0</v>
      </c>
      <c r="GJ55" s="36">
        <v>0</v>
      </c>
      <c r="GK55" s="36">
        <v>0</v>
      </c>
      <c r="GL55" s="36">
        <v>0</v>
      </c>
      <c r="GM55" s="36">
        <v>0</v>
      </c>
      <c r="GN55" s="36">
        <v>0</v>
      </c>
      <c r="GO55" s="36">
        <v>0</v>
      </c>
      <c r="GP55" s="36">
        <v>0</v>
      </c>
      <c r="GQ55" s="36">
        <v>0</v>
      </c>
      <c r="GR55" s="36">
        <v>0</v>
      </c>
      <c r="GS55" s="36">
        <v>0</v>
      </c>
      <c r="GT55" s="36">
        <v>0</v>
      </c>
      <c r="GU55" s="36">
        <v>0</v>
      </c>
      <c r="GV55" s="36">
        <v>0</v>
      </c>
      <c r="GW55" s="67"/>
      <c r="GX55" s="67"/>
      <c r="GY55" s="67"/>
      <c r="GZ55" s="67"/>
      <c r="HA55" s="67"/>
      <c r="HB55" s="31">
        <f t="shared" si="109"/>
        <v>0</v>
      </c>
      <c r="HC55" s="31">
        <f t="shared" si="110"/>
        <v>0</v>
      </c>
    </row>
    <row r="56" spans="1:211" s="13" customFormat="1" ht="17.25" customHeight="1">
      <c r="A56" s="23">
        <v>39</v>
      </c>
      <c r="B56" s="24" t="s">
        <v>224</v>
      </c>
      <c r="C56" s="36">
        <f t="shared" si="111"/>
        <v>660440</v>
      </c>
      <c r="D56" s="36">
        <f t="shared" si="111"/>
        <v>597712</v>
      </c>
      <c r="E56" s="36">
        <f t="shared" si="112"/>
        <v>624860</v>
      </c>
      <c r="F56" s="36">
        <f t="shared" si="112"/>
        <v>577085</v>
      </c>
      <c r="G56" s="36">
        <f t="shared" si="113"/>
        <v>17448</v>
      </c>
      <c r="H56" s="36">
        <f t="shared" si="113"/>
        <v>13591</v>
      </c>
      <c r="I56" s="36">
        <v>16448</v>
      </c>
      <c r="J56" s="36">
        <v>12591</v>
      </c>
      <c r="K56" s="36">
        <v>1000</v>
      </c>
      <c r="L56" s="36">
        <v>1000</v>
      </c>
      <c r="M56" s="36">
        <f t="shared" si="114"/>
        <v>0</v>
      </c>
      <c r="N56" s="36">
        <f t="shared" si="114"/>
        <v>1585</v>
      </c>
      <c r="O56" s="36"/>
      <c r="P56" s="36">
        <v>1585</v>
      </c>
      <c r="Q56" s="36"/>
      <c r="R56" s="36"/>
      <c r="S56" s="36">
        <f t="shared" si="115"/>
        <v>162884</v>
      </c>
      <c r="T56" s="36">
        <f t="shared" si="115"/>
        <v>163916</v>
      </c>
      <c r="U56" s="36">
        <v>8356</v>
      </c>
      <c r="V56" s="36">
        <v>10727</v>
      </c>
      <c r="W56" s="36">
        <v>70467</v>
      </c>
      <c r="X56" s="36">
        <v>68531</v>
      </c>
      <c r="Y56" s="36"/>
      <c r="Z56" s="36"/>
      <c r="AA56" s="36"/>
      <c r="AB56" s="36"/>
      <c r="AC56" s="36">
        <v>86653</v>
      </c>
      <c r="AD56" s="36">
        <v>84658</v>
      </c>
      <c r="AE56" s="36">
        <v>-2592</v>
      </c>
      <c r="AF56" s="36"/>
      <c r="AG56" s="36">
        <f>SUM(AI56+AK56)</f>
        <v>427933</v>
      </c>
      <c r="AH56" s="36">
        <f>SUM(AJ56+AL56)</f>
        <v>383591</v>
      </c>
      <c r="AI56" s="36">
        <v>427933</v>
      </c>
      <c r="AJ56" s="36">
        <v>383591</v>
      </c>
      <c r="AK56" s="36"/>
      <c r="AL56" s="36"/>
      <c r="AM56" s="36">
        <f t="shared" si="117"/>
        <v>16595</v>
      </c>
      <c r="AN56" s="36">
        <f t="shared" si="117"/>
        <v>14402</v>
      </c>
      <c r="AO56" s="36"/>
      <c r="AP56" s="36"/>
      <c r="AQ56" s="36">
        <v>5543</v>
      </c>
      <c r="AR56" s="36">
        <v>2617</v>
      </c>
      <c r="AS56" s="36"/>
      <c r="AT56" s="36"/>
      <c r="AU56" s="36">
        <v>11052</v>
      </c>
      <c r="AV56" s="36">
        <v>11785</v>
      </c>
      <c r="AW56" s="36">
        <f t="shared" si="118"/>
        <v>35580</v>
      </c>
      <c r="AX56" s="36">
        <f t="shared" si="118"/>
        <v>20627</v>
      </c>
      <c r="AY56" s="36">
        <f t="shared" si="119"/>
        <v>660</v>
      </c>
      <c r="AZ56" s="36">
        <f t="shared" si="119"/>
        <v>1833</v>
      </c>
      <c r="BA56" s="36"/>
      <c r="BB56" s="36"/>
      <c r="BC56" s="36"/>
      <c r="BD56" s="36"/>
      <c r="BE56" s="36"/>
      <c r="BF56" s="36"/>
      <c r="BG56" s="36">
        <v>660</v>
      </c>
      <c r="BH56" s="36">
        <v>1833</v>
      </c>
      <c r="BI56" s="36"/>
      <c r="BJ56" s="36"/>
      <c r="BK56" s="36">
        <f t="shared" si="120"/>
        <v>27385</v>
      </c>
      <c r="BL56" s="36">
        <f t="shared" si="120"/>
        <v>12700</v>
      </c>
      <c r="BM56" s="36">
        <f t="shared" si="121"/>
        <v>5825</v>
      </c>
      <c r="BN56" s="36">
        <f t="shared" si="121"/>
        <v>7728</v>
      </c>
      <c r="BO56" s="36">
        <v>31776</v>
      </c>
      <c r="BP56" s="36">
        <v>30563</v>
      </c>
      <c r="BQ56" s="36">
        <v>-25951</v>
      </c>
      <c r="BR56" s="36">
        <v>-22835</v>
      </c>
      <c r="BS56" s="36"/>
      <c r="BT56" s="36"/>
      <c r="BU56" s="36"/>
      <c r="BV56" s="36"/>
      <c r="BW56" s="36"/>
      <c r="BX56" s="36"/>
      <c r="BY56" s="36">
        <f t="shared" si="132"/>
        <v>0</v>
      </c>
      <c r="BZ56" s="36">
        <f t="shared" si="122"/>
        <v>0</v>
      </c>
      <c r="CA56" s="36"/>
      <c r="CB56" s="36"/>
      <c r="CC56" s="37"/>
      <c r="CD56" s="37"/>
      <c r="CE56" s="36">
        <v>21560</v>
      </c>
      <c r="CF56" s="36">
        <v>4972</v>
      </c>
      <c r="CG56" s="36">
        <f t="shared" si="123"/>
        <v>7535</v>
      </c>
      <c r="CH56" s="36">
        <f t="shared" si="123"/>
        <v>6094</v>
      </c>
      <c r="CI56" s="36">
        <v>17291</v>
      </c>
      <c r="CJ56" s="36">
        <v>14764</v>
      </c>
      <c r="CK56" s="36">
        <v>-9756</v>
      </c>
      <c r="CL56" s="36">
        <v>-8670</v>
      </c>
      <c r="CM56" s="36">
        <f t="shared" si="124"/>
        <v>0</v>
      </c>
      <c r="CN56" s="36">
        <f t="shared" si="124"/>
        <v>0</v>
      </c>
      <c r="CO56" s="36"/>
      <c r="CP56" s="36"/>
      <c r="CQ56" s="36"/>
      <c r="CR56" s="36"/>
      <c r="CS56" s="36"/>
      <c r="CT56" s="36"/>
      <c r="CU56" s="36"/>
      <c r="CV56" s="36"/>
      <c r="CW56" s="36">
        <f t="shared" si="125"/>
        <v>0</v>
      </c>
      <c r="CX56" s="36">
        <f t="shared" si="125"/>
        <v>0</v>
      </c>
      <c r="CY56" s="36"/>
      <c r="CZ56" s="36"/>
      <c r="DA56" s="36"/>
      <c r="DB56" s="36"/>
      <c r="DC56" s="36"/>
      <c r="DD56" s="36"/>
      <c r="DE56" s="36">
        <f t="shared" si="126"/>
        <v>660440</v>
      </c>
      <c r="DF56" s="36">
        <f t="shared" si="126"/>
        <v>597712</v>
      </c>
      <c r="DG56" s="36">
        <f t="shared" si="127"/>
        <v>610520</v>
      </c>
      <c r="DH56" s="36">
        <f t="shared" si="127"/>
        <v>547317</v>
      </c>
      <c r="DI56" s="36">
        <f t="shared" si="128"/>
        <v>159507</v>
      </c>
      <c r="DJ56" s="36">
        <f t="shared" si="128"/>
        <v>136865</v>
      </c>
      <c r="DK56" s="36">
        <v>41034</v>
      </c>
      <c r="DL56" s="36">
        <v>6992</v>
      </c>
      <c r="DM56" s="36">
        <v>1638</v>
      </c>
      <c r="DN56" s="36">
        <v>1805</v>
      </c>
      <c r="DO56" s="36">
        <v>51707</v>
      </c>
      <c r="DP56" s="36">
        <v>53108</v>
      </c>
      <c r="DQ56" s="36">
        <v>4390</v>
      </c>
      <c r="DR56" s="36">
        <v>5407</v>
      </c>
      <c r="DS56" s="36">
        <v>34300</v>
      </c>
      <c r="DT56" s="36">
        <v>33176</v>
      </c>
      <c r="DU56" s="36">
        <v>987</v>
      </c>
      <c r="DV56" s="36"/>
      <c r="DW56" s="36"/>
      <c r="DX56" s="36"/>
      <c r="DY56" s="36"/>
      <c r="DZ56" s="36"/>
      <c r="EA56" s="36">
        <v>11408</v>
      </c>
      <c r="EB56" s="36">
        <v>23548</v>
      </c>
      <c r="EC56" s="36"/>
      <c r="ED56" s="36"/>
      <c r="EE56" s="36">
        <v>14043</v>
      </c>
      <c r="EF56" s="36">
        <v>12829</v>
      </c>
      <c r="EG56" s="36">
        <f t="shared" si="129"/>
        <v>451013</v>
      </c>
      <c r="EH56" s="37">
        <f t="shared" si="94"/>
        <v>410452</v>
      </c>
      <c r="EI56" s="36"/>
      <c r="EJ56" s="36"/>
      <c r="EK56" s="36"/>
      <c r="EL56" s="36"/>
      <c r="EM56" s="36">
        <v>409958</v>
      </c>
      <c r="EN56" s="36">
        <v>382707</v>
      </c>
      <c r="EO56" s="36">
        <v>28110</v>
      </c>
      <c r="EP56" s="36">
        <v>26389</v>
      </c>
      <c r="EQ56" s="36"/>
      <c r="ER56" s="36"/>
      <c r="ES56" s="36"/>
      <c r="ET56" s="36"/>
      <c r="EU56" s="36"/>
      <c r="EV56" s="36"/>
      <c r="EW56" s="36">
        <v>11848</v>
      </c>
      <c r="EX56" s="36">
        <v>1356</v>
      </c>
      <c r="EY56" s="36">
        <v>1097</v>
      </c>
      <c r="EZ56" s="36"/>
      <c r="FA56" s="36">
        <f t="shared" si="130"/>
        <v>49920</v>
      </c>
      <c r="FB56" s="36">
        <f t="shared" si="130"/>
        <v>50395</v>
      </c>
      <c r="FC56" s="36">
        <f t="shared" si="131"/>
        <v>34040</v>
      </c>
      <c r="FD56" s="36">
        <f t="shared" si="131"/>
        <v>41224</v>
      </c>
      <c r="FE56" s="36">
        <v>22285</v>
      </c>
      <c r="FF56" s="36">
        <v>28827</v>
      </c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>
        <v>7700</v>
      </c>
      <c r="FR56" s="36">
        <v>7700</v>
      </c>
      <c r="FS56" s="36">
        <v>4055</v>
      </c>
      <c r="FT56" s="36">
        <v>4697</v>
      </c>
      <c r="FU56" s="36"/>
      <c r="FV56" s="36"/>
      <c r="FW56" s="36"/>
      <c r="FX56" s="36"/>
      <c r="FY56" s="36"/>
      <c r="FZ56" s="36"/>
      <c r="GA56" s="36"/>
      <c r="GB56" s="36"/>
      <c r="GC56" s="36">
        <f t="shared" si="62"/>
        <v>15880</v>
      </c>
      <c r="GD56" s="36">
        <f t="shared" si="63"/>
        <v>9171</v>
      </c>
      <c r="GE56" s="36"/>
      <c r="GF56" s="36"/>
      <c r="GG56" s="36">
        <v>8133</v>
      </c>
      <c r="GH56" s="36">
        <v>9171</v>
      </c>
      <c r="GI56" s="36">
        <v>7747</v>
      </c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67"/>
      <c r="GX56" s="67"/>
      <c r="GY56" s="67"/>
      <c r="GZ56" s="67"/>
      <c r="HA56" s="67"/>
      <c r="HB56" s="31">
        <f t="shared" si="109"/>
        <v>0</v>
      </c>
      <c r="HC56" s="31">
        <f t="shared" si="110"/>
        <v>0</v>
      </c>
    </row>
    <row r="57" spans="1:211" s="13" customFormat="1" ht="17.25" customHeight="1">
      <c r="A57" s="23">
        <v>40</v>
      </c>
      <c r="B57" s="24" t="s">
        <v>225</v>
      </c>
      <c r="C57" s="36">
        <f t="shared" si="111"/>
        <v>219955</v>
      </c>
      <c r="D57" s="36">
        <f t="shared" si="111"/>
        <v>217439</v>
      </c>
      <c r="E57" s="36">
        <f t="shared" si="112"/>
        <v>87597</v>
      </c>
      <c r="F57" s="36">
        <f t="shared" si="112"/>
        <v>105825</v>
      </c>
      <c r="G57" s="36">
        <f t="shared" si="113"/>
        <v>64315</v>
      </c>
      <c r="H57" s="36">
        <f t="shared" si="113"/>
        <v>60470</v>
      </c>
      <c r="I57" s="36">
        <v>3703</v>
      </c>
      <c r="J57" s="36">
        <v>16165</v>
      </c>
      <c r="K57" s="36">
        <v>60612</v>
      </c>
      <c r="L57" s="36">
        <v>44305</v>
      </c>
      <c r="M57" s="36">
        <f t="shared" si="114"/>
        <v>0</v>
      </c>
      <c r="N57" s="36">
        <f t="shared" si="114"/>
        <v>0</v>
      </c>
      <c r="O57" s="36">
        <v>0</v>
      </c>
      <c r="P57" s="36">
        <v>0</v>
      </c>
      <c r="Q57" s="36">
        <v>0</v>
      </c>
      <c r="R57" s="36">
        <v>0</v>
      </c>
      <c r="S57" s="36">
        <f t="shared" si="115"/>
        <v>21926</v>
      </c>
      <c r="T57" s="36">
        <f t="shared" si="115"/>
        <v>24519</v>
      </c>
      <c r="U57" s="36">
        <v>16432</v>
      </c>
      <c r="V57" s="36">
        <v>11148</v>
      </c>
      <c r="W57" s="36">
        <v>5047</v>
      </c>
      <c r="X57" s="36">
        <v>12720</v>
      </c>
      <c r="Y57" s="36">
        <v>0</v>
      </c>
      <c r="Z57" s="36">
        <v>0</v>
      </c>
      <c r="AA57" s="36">
        <v>0</v>
      </c>
      <c r="AB57" s="36">
        <v>0</v>
      </c>
      <c r="AC57" s="36">
        <v>447</v>
      </c>
      <c r="AD57" s="36">
        <v>651</v>
      </c>
      <c r="AE57" s="36">
        <v>0</v>
      </c>
      <c r="AF57" s="36">
        <v>0</v>
      </c>
      <c r="AG57" s="36">
        <f aca="true" t="shared" si="133" ref="AG57:AH59">SUM(AI57+AK57)</f>
        <v>475</v>
      </c>
      <c r="AH57" s="36">
        <f t="shared" si="133"/>
        <v>6653</v>
      </c>
      <c r="AI57" s="36">
        <v>475</v>
      </c>
      <c r="AJ57" s="36">
        <v>6653</v>
      </c>
      <c r="AK57" s="36">
        <v>0</v>
      </c>
      <c r="AL57" s="36">
        <v>0</v>
      </c>
      <c r="AM57" s="36">
        <f t="shared" si="117"/>
        <v>881</v>
      </c>
      <c r="AN57" s="36">
        <f t="shared" si="117"/>
        <v>14183</v>
      </c>
      <c r="AO57" s="36">
        <v>0</v>
      </c>
      <c r="AP57" s="36">
        <v>362</v>
      </c>
      <c r="AQ57" s="36">
        <v>0</v>
      </c>
      <c r="AR57" s="36">
        <v>12691</v>
      </c>
      <c r="AS57" s="36">
        <v>586</v>
      </c>
      <c r="AT57" s="36">
        <v>389</v>
      </c>
      <c r="AU57" s="36">
        <v>295</v>
      </c>
      <c r="AV57" s="36">
        <v>741</v>
      </c>
      <c r="AW57" s="36">
        <f t="shared" si="118"/>
        <v>132358</v>
      </c>
      <c r="AX57" s="36">
        <f t="shared" si="118"/>
        <v>111614</v>
      </c>
      <c r="AY57" s="36">
        <f t="shared" si="119"/>
        <v>0</v>
      </c>
      <c r="AZ57" s="36">
        <f t="shared" si="119"/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6">
        <v>0</v>
      </c>
      <c r="BK57" s="36">
        <f t="shared" si="120"/>
        <v>38128</v>
      </c>
      <c r="BL57" s="36">
        <f t="shared" si="120"/>
        <v>17686</v>
      </c>
      <c r="BM57" s="36">
        <f t="shared" si="121"/>
        <v>31653</v>
      </c>
      <c r="BN57" s="36">
        <f t="shared" si="121"/>
        <v>23142</v>
      </c>
      <c r="BO57" s="36">
        <v>57318</v>
      </c>
      <c r="BP57" s="36">
        <v>45961</v>
      </c>
      <c r="BQ57" s="36">
        <v>-25665</v>
      </c>
      <c r="BR57" s="36">
        <v>-22819</v>
      </c>
      <c r="BS57" s="36">
        <v>0</v>
      </c>
      <c r="BT57" s="36">
        <v>0</v>
      </c>
      <c r="BU57" s="36">
        <v>0</v>
      </c>
      <c r="BV57" s="36">
        <v>0</v>
      </c>
      <c r="BW57" s="36">
        <v>0</v>
      </c>
      <c r="BX57" s="36">
        <v>0</v>
      </c>
      <c r="BY57" s="36">
        <f t="shared" si="132"/>
        <v>0</v>
      </c>
      <c r="BZ57" s="36">
        <f t="shared" si="122"/>
        <v>0</v>
      </c>
      <c r="CA57" s="36"/>
      <c r="CB57" s="36"/>
      <c r="CC57" s="37"/>
      <c r="CD57" s="37"/>
      <c r="CE57" s="36">
        <v>6475</v>
      </c>
      <c r="CF57" s="36">
        <v>-5456</v>
      </c>
      <c r="CG57" s="36">
        <f t="shared" si="123"/>
        <v>77986</v>
      </c>
      <c r="CH57" s="36">
        <f t="shared" si="123"/>
        <v>78751</v>
      </c>
      <c r="CI57" s="36">
        <v>103160</v>
      </c>
      <c r="CJ57" s="36">
        <v>103420</v>
      </c>
      <c r="CK57" s="36">
        <v>-25174</v>
      </c>
      <c r="CL57" s="36">
        <v>-24669</v>
      </c>
      <c r="CM57" s="36">
        <f t="shared" si="124"/>
        <v>15177</v>
      </c>
      <c r="CN57" s="36">
        <f t="shared" si="124"/>
        <v>15177</v>
      </c>
      <c r="CO57" s="36">
        <v>0</v>
      </c>
      <c r="CP57" s="36">
        <v>0</v>
      </c>
      <c r="CQ57" s="36">
        <v>0</v>
      </c>
      <c r="CR57" s="36">
        <v>0</v>
      </c>
      <c r="CS57" s="36">
        <v>15177</v>
      </c>
      <c r="CT57" s="36">
        <v>15177</v>
      </c>
      <c r="CU57" s="36">
        <v>0</v>
      </c>
      <c r="CV57" s="36">
        <v>0</v>
      </c>
      <c r="CW57" s="36">
        <f t="shared" si="125"/>
        <v>1067</v>
      </c>
      <c r="CX57" s="36">
        <f t="shared" si="125"/>
        <v>0</v>
      </c>
      <c r="CY57" s="36">
        <v>1067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f t="shared" si="126"/>
        <v>219955</v>
      </c>
      <c r="DF57" s="36">
        <f t="shared" si="126"/>
        <v>217439</v>
      </c>
      <c r="DG57" s="36">
        <f t="shared" si="127"/>
        <v>73889</v>
      </c>
      <c r="DH57" s="36">
        <f t="shared" si="127"/>
        <v>79614</v>
      </c>
      <c r="DI57" s="36">
        <f t="shared" si="128"/>
        <v>57466</v>
      </c>
      <c r="DJ57" s="36">
        <f t="shared" si="128"/>
        <v>65833</v>
      </c>
      <c r="DK57" s="36">
        <v>0</v>
      </c>
      <c r="DL57" s="36">
        <v>0</v>
      </c>
      <c r="DM57" s="36">
        <v>165</v>
      </c>
      <c r="DN57" s="36">
        <v>4842</v>
      </c>
      <c r="DO57" s="36">
        <v>23036</v>
      </c>
      <c r="DP57" s="36">
        <v>24135</v>
      </c>
      <c r="DQ57" s="36">
        <v>1204</v>
      </c>
      <c r="DR57" s="36">
        <v>405</v>
      </c>
      <c r="DS57" s="36">
        <v>2501</v>
      </c>
      <c r="DT57" s="36">
        <v>15816</v>
      </c>
      <c r="DU57" s="36">
        <v>0</v>
      </c>
      <c r="DV57" s="36">
        <v>0</v>
      </c>
      <c r="DW57" s="36">
        <v>0</v>
      </c>
      <c r="DX57" s="36"/>
      <c r="DY57" s="36"/>
      <c r="DZ57" s="36">
        <v>0</v>
      </c>
      <c r="EA57" s="36">
        <v>29840</v>
      </c>
      <c r="EB57" s="36">
        <v>14829</v>
      </c>
      <c r="EC57" s="36">
        <v>0</v>
      </c>
      <c r="ED57" s="36">
        <v>0</v>
      </c>
      <c r="EE57" s="36">
        <v>720</v>
      </c>
      <c r="EF57" s="36">
        <v>5806</v>
      </c>
      <c r="EG57" s="36">
        <f t="shared" si="129"/>
        <v>16423</v>
      </c>
      <c r="EH57" s="37">
        <f t="shared" si="94"/>
        <v>13781</v>
      </c>
      <c r="EI57" s="36">
        <v>0</v>
      </c>
      <c r="EJ57" s="36">
        <v>0</v>
      </c>
      <c r="EK57" s="36">
        <v>0</v>
      </c>
      <c r="EL57" s="36">
        <v>0</v>
      </c>
      <c r="EM57" s="36">
        <v>10523</v>
      </c>
      <c r="EN57" s="36">
        <v>8978</v>
      </c>
      <c r="EO57" s="36">
        <v>0</v>
      </c>
      <c r="EP57" s="36">
        <v>0</v>
      </c>
      <c r="EQ57" s="36">
        <v>0</v>
      </c>
      <c r="ER57" s="36">
        <v>0</v>
      </c>
      <c r="ES57" s="36">
        <v>0</v>
      </c>
      <c r="ET57" s="36">
        <v>0</v>
      </c>
      <c r="EU57" s="36">
        <v>0</v>
      </c>
      <c r="EV57" s="36">
        <v>0</v>
      </c>
      <c r="EW57" s="36">
        <v>5803</v>
      </c>
      <c r="EX57" s="36">
        <v>4803</v>
      </c>
      <c r="EY57" s="36">
        <v>97</v>
      </c>
      <c r="EZ57" s="36">
        <v>0</v>
      </c>
      <c r="FA57" s="36">
        <f t="shared" si="130"/>
        <v>146066</v>
      </c>
      <c r="FB57" s="36">
        <f t="shared" si="130"/>
        <v>137825</v>
      </c>
      <c r="FC57" s="36">
        <f t="shared" si="131"/>
        <v>139126</v>
      </c>
      <c r="FD57" s="36">
        <f t="shared" si="131"/>
        <v>132774</v>
      </c>
      <c r="FE57" s="36">
        <v>120492</v>
      </c>
      <c r="FF57" s="36">
        <v>115232</v>
      </c>
      <c r="FG57" s="36">
        <v>0</v>
      </c>
      <c r="FH57" s="36">
        <v>0</v>
      </c>
      <c r="FI57" s="36">
        <v>0</v>
      </c>
      <c r="FJ57" s="36">
        <v>0</v>
      </c>
      <c r="FK57" s="36">
        <v>0</v>
      </c>
      <c r="FL57" s="36">
        <v>0</v>
      </c>
      <c r="FM57" s="36">
        <v>0</v>
      </c>
      <c r="FN57" s="36">
        <v>0</v>
      </c>
      <c r="FO57" s="36">
        <v>0</v>
      </c>
      <c r="FP57" s="36">
        <v>0</v>
      </c>
      <c r="FQ57" s="36">
        <v>0</v>
      </c>
      <c r="FR57" s="36">
        <v>0</v>
      </c>
      <c r="FS57" s="36">
        <v>4809</v>
      </c>
      <c r="FT57" s="36">
        <v>4809</v>
      </c>
      <c r="FU57" s="36">
        <v>0</v>
      </c>
      <c r="FV57" s="36">
        <v>0</v>
      </c>
      <c r="FW57" s="36">
        <v>13825</v>
      </c>
      <c r="FX57" s="36">
        <v>12733</v>
      </c>
      <c r="FY57" s="36">
        <v>0</v>
      </c>
      <c r="FZ57" s="36">
        <v>0</v>
      </c>
      <c r="GA57" s="36">
        <v>0</v>
      </c>
      <c r="GB57" s="36">
        <v>0</v>
      </c>
      <c r="GC57" s="36">
        <f t="shared" si="62"/>
        <v>6940</v>
      </c>
      <c r="GD57" s="36">
        <f t="shared" si="63"/>
        <v>5051</v>
      </c>
      <c r="GE57" s="36">
        <v>0</v>
      </c>
      <c r="GF57" s="36">
        <v>0</v>
      </c>
      <c r="GG57" s="36">
        <v>6940</v>
      </c>
      <c r="GH57" s="36">
        <v>5051</v>
      </c>
      <c r="GI57" s="36">
        <v>0</v>
      </c>
      <c r="GJ57" s="36">
        <v>0</v>
      </c>
      <c r="GK57" s="36">
        <v>0</v>
      </c>
      <c r="GL57" s="36">
        <v>0</v>
      </c>
      <c r="GM57" s="36">
        <v>0</v>
      </c>
      <c r="GN57" s="36">
        <v>0</v>
      </c>
      <c r="GO57" s="36">
        <v>0</v>
      </c>
      <c r="GP57" s="36">
        <v>0</v>
      </c>
      <c r="GQ57" s="36">
        <v>0</v>
      </c>
      <c r="GR57" s="36">
        <v>0</v>
      </c>
      <c r="GS57" s="36">
        <v>0</v>
      </c>
      <c r="GT57" s="36">
        <v>0</v>
      </c>
      <c r="GU57" s="36">
        <v>0</v>
      </c>
      <c r="GV57" s="36">
        <v>0</v>
      </c>
      <c r="GW57" s="67"/>
      <c r="GX57" s="67"/>
      <c r="GY57" s="67"/>
      <c r="GZ57" s="67"/>
      <c r="HA57" s="67"/>
      <c r="HB57" s="31">
        <f t="shared" si="109"/>
        <v>0</v>
      </c>
      <c r="HC57" s="31">
        <f t="shared" si="110"/>
        <v>0</v>
      </c>
    </row>
    <row r="58" spans="1:211" s="14" customFormat="1" ht="17.25" customHeight="1">
      <c r="A58" s="23">
        <v>41</v>
      </c>
      <c r="B58" s="24" t="s">
        <v>226</v>
      </c>
      <c r="C58" s="36">
        <f t="shared" si="111"/>
        <v>217846</v>
      </c>
      <c r="D58" s="36">
        <f t="shared" si="111"/>
        <v>119538</v>
      </c>
      <c r="E58" s="36">
        <f t="shared" si="112"/>
        <v>209992</v>
      </c>
      <c r="F58" s="36">
        <f t="shared" si="112"/>
        <v>113949</v>
      </c>
      <c r="G58" s="36">
        <f t="shared" si="113"/>
        <v>18106</v>
      </c>
      <c r="H58" s="36">
        <f t="shared" si="113"/>
        <v>11960</v>
      </c>
      <c r="I58" s="36">
        <v>18106</v>
      </c>
      <c r="J58" s="36">
        <v>11960</v>
      </c>
      <c r="K58" s="36"/>
      <c r="L58" s="36"/>
      <c r="M58" s="36">
        <f t="shared" si="114"/>
        <v>0</v>
      </c>
      <c r="N58" s="36">
        <f t="shared" si="114"/>
        <v>0</v>
      </c>
      <c r="O58" s="36"/>
      <c r="P58" s="36"/>
      <c r="Q58" s="36"/>
      <c r="R58" s="36"/>
      <c r="S58" s="36">
        <f t="shared" si="115"/>
        <v>14953</v>
      </c>
      <c r="T58" s="36">
        <f t="shared" si="115"/>
        <v>9730</v>
      </c>
      <c r="U58" s="36">
        <v>11256</v>
      </c>
      <c r="V58" s="36">
        <v>5114</v>
      </c>
      <c r="W58" s="36">
        <v>2743</v>
      </c>
      <c r="X58" s="36">
        <v>2895</v>
      </c>
      <c r="Y58" s="36"/>
      <c r="Z58" s="36"/>
      <c r="AA58" s="36"/>
      <c r="AB58" s="36"/>
      <c r="AC58" s="36">
        <v>1123</v>
      </c>
      <c r="AD58" s="36">
        <v>1721</v>
      </c>
      <c r="AE58" s="36">
        <v>-169</v>
      </c>
      <c r="AF58" s="36"/>
      <c r="AG58" s="36">
        <f t="shared" si="133"/>
        <v>168732</v>
      </c>
      <c r="AH58" s="36">
        <f t="shared" si="133"/>
        <v>84751</v>
      </c>
      <c r="AI58" s="36">
        <v>168732</v>
      </c>
      <c r="AJ58" s="36">
        <v>84751</v>
      </c>
      <c r="AK58" s="36"/>
      <c r="AL58" s="36"/>
      <c r="AM58" s="36">
        <f t="shared" si="117"/>
        <v>8201</v>
      </c>
      <c r="AN58" s="36">
        <f t="shared" si="117"/>
        <v>7508</v>
      </c>
      <c r="AO58" s="36">
        <v>13</v>
      </c>
      <c r="AP58" s="36"/>
      <c r="AQ58" s="36"/>
      <c r="AR58" s="36"/>
      <c r="AS58" s="36">
        <v>5408</v>
      </c>
      <c r="AT58" s="36">
        <v>34</v>
      </c>
      <c r="AU58" s="36">
        <v>2780</v>
      </c>
      <c r="AV58" s="36">
        <v>7474</v>
      </c>
      <c r="AW58" s="36">
        <f t="shared" si="118"/>
        <v>7854</v>
      </c>
      <c r="AX58" s="36">
        <f t="shared" si="118"/>
        <v>5589</v>
      </c>
      <c r="AY58" s="36">
        <f t="shared" si="119"/>
        <v>0</v>
      </c>
      <c r="AZ58" s="36">
        <f t="shared" si="119"/>
        <v>0</v>
      </c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>
        <f t="shared" si="120"/>
        <v>3722</v>
      </c>
      <c r="BL58" s="36">
        <f t="shared" si="120"/>
        <v>4046</v>
      </c>
      <c r="BM58" s="36">
        <f t="shared" si="121"/>
        <v>1644</v>
      </c>
      <c r="BN58" s="36">
        <f t="shared" si="121"/>
        <v>1727</v>
      </c>
      <c r="BO58" s="36">
        <v>10582</v>
      </c>
      <c r="BP58" s="36">
        <v>10735</v>
      </c>
      <c r="BQ58" s="36">
        <v>-8938</v>
      </c>
      <c r="BR58" s="36">
        <v>-9008</v>
      </c>
      <c r="BS58" s="36">
        <f>BU58+BW58</f>
        <v>1745</v>
      </c>
      <c r="BT58" s="36">
        <f>BV58+BX58</f>
        <v>1994</v>
      </c>
      <c r="BU58" s="36">
        <v>2493</v>
      </c>
      <c r="BV58" s="36">
        <v>2493</v>
      </c>
      <c r="BW58" s="36">
        <v>-748</v>
      </c>
      <c r="BX58" s="36">
        <v>-499</v>
      </c>
      <c r="BY58" s="36">
        <f t="shared" si="132"/>
        <v>283</v>
      </c>
      <c r="BZ58" s="36">
        <f t="shared" si="122"/>
        <v>325</v>
      </c>
      <c r="CA58" s="36">
        <v>607</v>
      </c>
      <c r="CB58" s="36">
        <v>635</v>
      </c>
      <c r="CC58" s="37">
        <v>-324</v>
      </c>
      <c r="CD58" s="37">
        <v>-310</v>
      </c>
      <c r="CE58" s="36">
        <v>50</v>
      </c>
      <c r="CF58" s="36"/>
      <c r="CG58" s="36">
        <f t="shared" si="123"/>
        <v>-117</v>
      </c>
      <c r="CH58" s="36">
        <f t="shared" si="123"/>
        <v>-117</v>
      </c>
      <c r="CI58" s="36">
        <v>133</v>
      </c>
      <c r="CJ58" s="36">
        <v>133</v>
      </c>
      <c r="CK58" s="36">
        <v>-250</v>
      </c>
      <c r="CL58" s="36">
        <v>-250</v>
      </c>
      <c r="CM58" s="36">
        <f t="shared" si="124"/>
        <v>0</v>
      </c>
      <c r="CN58" s="36">
        <f t="shared" si="124"/>
        <v>0</v>
      </c>
      <c r="CO58" s="36"/>
      <c r="CP58" s="36"/>
      <c r="CQ58" s="36"/>
      <c r="CR58" s="36"/>
      <c r="CS58" s="36"/>
      <c r="CT58" s="36"/>
      <c r="CU58" s="36"/>
      <c r="CV58" s="36"/>
      <c r="CW58" s="36">
        <f t="shared" si="125"/>
        <v>4249</v>
      </c>
      <c r="CX58" s="36">
        <f t="shared" si="125"/>
        <v>1660</v>
      </c>
      <c r="CY58" s="36">
        <v>267</v>
      </c>
      <c r="CZ58" s="36">
        <v>175</v>
      </c>
      <c r="DA58" s="36">
        <v>1087</v>
      </c>
      <c r="DB58" s="36">
        <v>1087</v>
      </c>
      <c r="DC58" s="36">
        <v>2895</v>
      </c>
      <c r="DD58" s="36">
        <v>398</v>
      </c>
      <c r="DE58" s="36">
        <f t="shared" si="126"/>
        <v>217846</v>
      </c>
      <c r="DF58" s="36">
        <f t="shared" si="126"/>
        <v>119538</v>
      </c>
      <c r="DG58" s="36">
        <f t="shared" si="127"/>
        <v>203770</v>
      </c>
      <c r="DH58" s="36">
        <f t="shared" si="127"/>
        <v>102958</v>
      </c>
      <c r="DI58" s="36">
        <f t="shared" si="128"/>
        <v>140492</v>
      </c>
      <c r="DJ58" s="36">
        <f t="shared" si="128"/>
        <v>48636</v>
      </c>
      <c r="DK58" s="36">
        <v>426</v>
      </c>
      <c r="DL58" s="36">
        <v>427</v>
      </c>
      <c r="DM58" s="36">
        <v>77329</v>
      </c>
      <c r="DN58" s="36">
        <v>10867</v>
      </c>
      <c r="DO58" s="36">
        <v>12142</v>
      </c>
      <c r="DP58" s="36">
        <v>12536</v>
      </c>
      <c r="DQ58" s="36">
        <v>280</v>
      </c>
      <c r="DR58" s="36">
        <v>3209</v>
      </c>
      <c r="DS58" s="36">
        <v>2223</v>
      </c>
      <c r="DT58" s="36">
        <v>2529</v>
      </c>
      <c r="DU58" s="36">
        <v>15</v>
      </c>
      <c r="DV58" s="36">
        <v>28</v>
      </c>
      <c r="DW58" s="36"/>
      <c r="DX58" s="36"/>
      <c r="DY58" s="36"/>
      <c r="DZ58" s="36"/>
      <c r="EA58" s="36">
        <v>46153</v>
      </c>
      <c r="EB58" s="36">
        <v>20160</v>
      </c>
      <c r="EC58" s="36"/>
      <c r="ED58" s="36"/>
      <c r="EE58" s="36">
        <v>1924</v>
      </c>
      <c r="EF58" s="36">
        <v>-1120</v>
      </c>
      <c r="EG58" s="36">
        <f t="shared" si="129"/>
        <v>63278</v>
      </c>
      <c r="EH58" s="37">
        <f t="shared" si="94"/>
        <v>54322</v>
      </c>
      <c r="EI58" s="36"/>
      <c r="EJ58" s="36"/>
      <c r="EK58" s="36"/>
      <c r="EL58" s="36"/>
      <c r="EM58" s="36">
        <v>210</v>
      </c>
      <c r="EN58" s="36">
        <v>110</v>
      </c>
      <c r="EO58" s="36">
        <v>320</v>
      </c>
      <c r="EP58" s="36">
        <v>746</v>
      </c>
      <c r="EQ58" s="36"/>
      <c r="ER58" s="36"/>
      <c r="ES58" s="36"/>
      <c r="ET58" s="36"/>
      <c r="EU58" s="36"/>
      <c r="EV58" s="36"/>
      <c r="EW58" s="36">
        <v>62664</v>
      </c>
      <c r="EX58" s="36">
        <v>53466</v>
      </c>
      <c r="EY58" s="36">
        <v>84</v>
      </c>
      <c r="EZ58" s="36"/>
      <c r="FA58" s="36">
        <f t="shared" si="130"/>
        <v>14076</v>
      </c>
      <c r="FB58" s="36">
        <f t="shared" si="130"/>
        <v>16580</v>
      </c>
      <c r="FC58" s="36">
        <f t="shared" si="131"/>
        <v>13736</v>
      </c>
      <c r="FD58" s="36">
        <f t="shared" si="131"/>
        <v>16240</v>
      </c>
      <c r="FE58" s="36">
        <v>11387</v>
      </c>
      <c r="FF58" s="36">
        <v>11116</v>
      </c>
      <c r="FG58" s="36"/>
      <c r="FH58" s="36"/>
      <c r="FI58" s="36"/>
      <c r="FJ58" s="36">
        <v>271</v>
      </c>
      <c r="FK58" s="36"/>
      <c r="FL58" s="36"/>
      <c r="FM58" s="36"/>
      <c r="FN58" s="36"/>
      <c r="FO58" s="36"/>
      <c r="FP58" s="36"/>
      <c r="FQ58" s="36">
        <v>2349</v>
      </c>
      <c r="FR58" s="36">
        <v>0</v>
      </c>
      <c r="FS58" s="36"/>
      <c r="FT58" s="36">
        <v>1392</v>
      </c>
      <c r="FU58" s="36"/>
      <c r="FV58" s="36"/>
      <c r="FW58" s="36">
        <v>0</v>
      </c>
      <c r="FX58" s="36">
        <v>3461</v>
      </c>
      <c r="FY58" s="36"/>
      <c r="FZ58" s="36"/>
      <c r="GA58" s="36"/>
      <c r="GB58" s="36"/>
      <c r="GC58" s="36">
        <f t="shared" si="62"/>
        <v>340</v>
      </c>
      <c r="GD58" s="36">
        <f t="shared" si="63"/>
        <v>340</v>
      </c>
      <c r="GE58" s="36"/>
      <c r="GF58" s="36"/>
      <c r="GG58" s="36">
        <v>69</v>
      </c>
      <c r="GH58" s="36">
        <v>69</v>
      </c>
      <c r="GI58" s="36">
        <v>271</v>
      </c>
      <c r="GJ58" s="36">
        <v>271</v>
      </c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68"/>
      <c r="GX58" s="68"/>
      <c r="GY58" s="68"/>
      <c r="GZ58" s="68"/>
      <c r="HA58" s="68"/>
      <c r="HB58" s="31">
        <f t="shared" si="109"/>
        <v>0</v>
      </c>
      <c r="HC58" s="31">
        <f t="shared" si="110"/>
        <v>0</v>
      </c>
    </row>
    <row r="59" spans="1:211" s="13" customFormat="1" ht="17.25" customHeight="1">
      <c r="A59" s="23">
        <v>42</v>
      </c>
      <c r="B59" s="24" t="s">
        <v>227</v>
      </c>
      <c r="C59" s="36">
        <f t="shared" si="111"/>
        <v>74035</v>
      </c>
      <c r="D59" s="36">
        <f t="shared" si="111"/>
        <v>76689</v>
      </c>
      <c r="E59" s="36">
        <f t="shared" si="112"/>
        <v>38164</v>
      </c>
      <c r="F59" s="36">
        <f t="shared" si="112"/>
        <v>38781</v>
      </c>
      <c r="G59" s="36">
        <f t="shared" si="113"/>
        <v>22634</v>
      </c>
      <c r="H59" s="36">
        <f t="shared" si="113"/>
        <v>21254</v>
      </c>
      <c r="I59" s="36">
        <v>7144</v>
      </c>
      <c r="J59" s="36">
        <v>7434</v>
      </c>
      <c r="K59" s="36">
        <v>15490</v>
      </c>
      <c r="L59" s="36">
        <v>13820</v>
      </c>
      <c r="M59" s="36">
        <f t="shared" si="114"/>
        <v>0</v>
      </c>
      <c r="N59" s="36">
        <f t="shared" si="114"/>
        <v>0</v>
      </c>
      <c r="O59" s="36"/>
      <c r="P59" s="36"/>
      <c r="Q59" s="36"/>
      <c r="R59" s="36"/>
      <c r="S59" s="36">
        <f t="shared" si="115"/>
        <v>10141</v>
      </c>
      <c r="T59" s="36">
        <f t="shared" si="115"/>
        <v>7740</v>
      </c>
      <c r="U59" s="36">
        <v>9691</v>
      </c>
      <c r="V59" s="36">
        <v>7074</v>
      </c>
      <c r="W59" s="36">
        <v>196</v>
      </c>
      <c r="X59" s="36"/>
      <c r="Y59" s="36"/>
      <c r="Z59" s="36"/>
      <c r="AA59" s="36"/>
      <c r="AB59" s="36"/>
      <c r="AC59" s="36">
        <v>1054</v>
      </c>
      <c r="AD59" s="36">
        <v>1466</v>
      </c>
      <c r="AE59" s="36">
        <v>-800</v>
      </c>
      <c r="AF59" s="36">
        <v>-800</v>
      </c>
      <c r="AG59" s="36">
        <f t="shared" si="133"/>
        <v>4384</v>
      </c>
      <c r="AH59" s="36">
        <f t="shared" si="133"/>
        <v>6782</v>
      </c>
      <c r="AI59" s="36">
        <v>4384</v>
      </c>
      <c r="AJ59" s="36">
        <v>6782</v>
      </c>
      <c r="AK59" s="36"/>
      <c r="AL59" s="36"/>
      <c r="AM59" s="36">
        <f t="shared" si="117"/>
        <v>1005</v>
      </c>
      <c r="AN59" s="36">
        <f t="shared" si="117"/>
        <v>3005</v>
      </c>
      <c r="AO59" s="36"/>
      <c r="AP59" s="36"/>
      <c r="AQ59" s="36"/>
      <c r="AR59" s="36"/>
      <c r="AS59" s="36">
        <v>467</v>
      </c>
      <c r="AT59" s="36">
        <v>176</v>
      </c>
      <c r="AU59" s="36">
        <v>538</v>
      </c>
      <c r="AV59" s="36">
        <v>2829</v>
      </c>
      <c r="AW59" s="36">
        <f t="shared" si="118"/>
        <v>35871</v>
      </c>
      <c r="AX59" s="36">
        <f>AZ59+BL59+CH59+CN59+CX59</f>
        <v>37908</v>
      </c>
      <c r="AY59" s="36">
        <f t="shared" si="119"/>
        <v>82</v>
      </c>
      <c r="AZ59" s="36">
        <f t="shared" si="119"/>
        <v>136</v>
      </c>
      <c r="BA59" s="36"/>
      <c r="BB59" s="36"/>
      <c r="BC59" s="36"/>
      <c r="BD59" s="36"/>
      <c r="BE59" s="36"/>
      <c r="BF59" s="36"/>
      <c r="BG59" s="36">
        <v>82</v>
      </c>
      <c r="BH59" s="36">
        <v>136</v>
      </c>
      <c r="BI59" s="36"/>
      <c r="BJ59" s="36"/>
      <c r="BK59" s="36">
        <f t="shared" si="120"/>
        <v>30795</v>
      </c>
      <c r="BL59" s="36">
        <f t="shared" si="120"/>
        <v>32486</v>
      </c>
      <c r="BM59" s="36">
        <f t="shared" si="121"/>
        <v>30779</v>
      </c>
      <c r="BN59" s="36">
        <f t="shared" si="121"/>
        <v>32448</v>
      </c>
      <c r="BO59" s="36">
        <v>52281</v>
      </c>
      <c r="BP59" s="36">
        <v>48382</v>
      </c>
      <c r="BQ59" s="36">
        <v>-21502</v>
      </c>
      <c r="BR59" s="36">
        <v>-15934</v>
      </c>
      <c r="BS59" s="36"/>
      <c r="BT59" s="36"/>
      <c r="BU59" s="36"/>
      <c r="BV59" s="36"/>
      <c r="BW59" s="36"/>
      <c r="BX59" s="36"/>
      <c r="BY59" s="36">
        <f t="shared" si="132"/>
        <v>16</v>
      </c>
      <c r="BZ59" s="36">
        <f t="shared" si="122"/>
        <v>38</v>
      </c>
      <c r="CA59" s="36">
        <v>36</v>
      </c>
      <c r="CB59" s="36">
        <v>89</v>
      </c>
      <c r="CC59" s="37">
        <v>-20</v>
      </c>
      <c r="CD59" s="37">
        <v>-51</v>
      </c>
      <c r="CE59" s="36"/>
      <c r="CF59" s="36"/>
      <c r="CG59" s="36">
        <f t="shared" si="123"/>
        <v>4994</v>
      </c>
      <c r="CH59" s="36">
        <f t="shared" si="123"/>
        <v>5281</v>
      </c>
      <c r="CI59" s="36">
        <v>8306</v>
      </c>
      <c r="CJ59" s="36">
        <v>8746</v>
      </c>
      <c r="CK59" s="36">
        <v>-3312</v>
      </c>
      <c r="CL59" s="36">
        <v>-3465</v>
      </c>
      <c r="CM59" s="36">
        <f t="shared" si="124"/>
        <v>0</v>
      </c>
      <c r="CN59" s="36">
        <f t="shared" si="124"/>
        <v>5</v>
      </c>
      <c r="CO59" s="36"/>
      <c r="CP59" s="36"/>
      <c r="CQ59" s="36"/>
      <c r="CR59" s="36"/>
      <c r="CS59" s="36"/>
      <c r="CT59" s="36">
        <v>5</v>
      </c>
      <c r="CU59" s="36"/>
      <c r="CV59" s="36"/>
      <c r="CW59" s="36">
        <f t="shared" si="125"/>
        <v>0</v>
      </c>
      <c r="CX59" s="36">
        <f t="shared" si="125"/>
        <v>0</v>
      </c>
      <c r="CY59" s="36"/>
      <c r="CZ59" s="36"/>
      <c r="DA59" s="36"/>
      <c r="DB59" s="36"/>
      <c r="DC59" s="36"/>
      <c r="DD59" s="36"/>
      <c r="DE59" s="36">
        <f t="shared" si="126"/>
        <v>74035</v>
      </c>
      <c r="DF59" s="36">
        <f t="shared" si="126"/>
        <v>76689</v>
      </c>
      <c r="DG59" s="36">
        <f t="shared" si="127"/>
        <v>29900</v>
      </c>
      <c r="DH59" s="36">
        <f t="shared" si="127"/>
        <v>36413</v>
      </c>
      <c r="DI59" s="36">
        <f t="shared" si="128"/>
        <v>26418</v>
      </c>
      <c r="DJ59" s="36">
        <f t="shared" si="128"/>
        <v>31478</v>
      </c>
      <c r="DK59" s="36">
        <v>4288</v>
      </c>
      <c r="DL59" s="36">
        <v>2583</v>
      </c>
      <c r="DM59" s="36">
        <v>1109</v>
      </c>
      <c r="DN59" s="36">
        <v>1023</v>
      </c>
      <c r="DO59" s="36">
        <v>1730</v>
      </c>
      <c r="DP59" s="36">
        <v>5740</v>
      </c>
      <c r="DQ59" s="36">
        <v>2024</v>
      </c>
      <c r="DR59" s="36">
        <v>2324</v>
      </c>
      <c r="DS59" s="36">
        <v>13560</v>
      </c>
      <c r="DT59" s="36">
        <v>16142</v>
      </c>
      <c r="DU59" s="36"/>
      <c r="DV59" s="36"/>
      <c r="DW59" s="36"/>
      <c r="DX59" s="36"/>
      <c r="DY59" s="36"/>
      <c r="DZ59" s="36"/>
      <c r="EA59" s="36">
        <v>7207</v>
      </c>
      <c r="EB59" s="36">
        <v>6993</v>
      </c>
      <c r="EC59" s="36"/>
      <c r="ED59" s="36"/>
      <c r="EE59" s="36">
        <v>-3500</v>
      </c>
      <c r="EF59" s="36">
        <v>-3327</v>
      </c>
      <c r="EG59" s="36">
        <f t="shared" si="129"/>
        <v>3482</v>
      </c>
      <c r="EH59" s="37">
        <f t="shared" si="94"/>
        <v>4935</v>
      </c>
      <c r="EI59" s="36"/>
      <c r="EJ59" s="36"/>
      <c r="EK59" s="36"/>
      <c r="EL59" s="36"/>
      <c r="EM59" s="36">
        <v>1282</v>
      </c>
      <c r="EN59" s="36">
        <v>1335</v>
      </c>
      <c r="EO59" s="36">
        <v>2200</v>
      </c>
      <c r="EP59" s="36">
        <v>3600</v>
      </c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>
        <f t="shared" si="130"/>
        <v>44135</v>
      </c>
      <c r="FB59" s="36">
        <f t="shared" si="130"/>
        <v>40276</v>
      </c>
      <c r="FC59" s="36">
        <f t="shared" si="131"/>
        <v>38497</v>
      </c>
      <c r="FD59" s="36">
        <f t="shared" si="131"/>
        <v>34360</v>
      </c>
      <c r="FE59" s="36">
        <v>24656</v>
      </c>
      <c r="FF59" s="36">
        <v>19567</v>
      </c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>
        <v>3289</v>
      </c>
      <c r="FR59" s="36"/>
      <c r="FS59" s="36"/>
      <c r="FT59" s="36">
        <v>3289</v>
      </c>
      <c r="FU59" s="36"/>
      <c r="FV59" s="36"/>
      <c r="FW59" s="36">
        <v>10552</v>
      </c>
      <c r="FX59" s="36">
        <v>11504</v>
      </c>
      <c r="FY59" s="36"/>
      <c r="FZ59" s="36"/>
      <c r="GA59" s="36"/>
      <c r="GB59" s="36"/>
      <c r="GC59" s="36">
        <f t="shared" si="62"/>
        <v>5638</v>
      </c>
      <c r="GD59" s="36">
        <f t="shared" si="63"/>
        <v>5916</v>
      </c>
      <c r="GE59" s="36"/>
      <c r="GF59" s="36"/>
      <c r="GG59" s="36">
        <v>601</v>
      </c>
      <c r="GH59" s="36">
        <v>592</v>
      </c>
      <c r="GI59" s="36">
        <v>5037</v>
      </c>
      <c r="GJ59" s="36">
        <v>5324</v>
      </c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67"/>
      <c r="GX59" s="67"/>
      <c r="GY59" s="67"/>
      <c r="GZ59" s="67"/>
      <c r="HA59" s="67"/>
      <c r="HB59" s="31">
        <f t="shared" si="109"/>
        <v>0</v>
      </c>
      <c r="HC59" s="31">
        <f t="shared" si="110"/>
        <v>0</v>
      </c>
    </row>
    <row r="60" spans="1:211" s="13" customFormat="1" ht="17.25" customHeight="1">
      <c r="A60" s="23">
        <v>43</v>
      </c>
      <c r="B60" s="24" t="s">
        <v>228</v>
      </c>
      <c r="C60" s="36">
        <f>E60+AW60</f>
        <v>43587</v>
      </c>
      <c r="D60" s="36">
        <f t="shared" si="111"/>
        <v>35032</v>
      </c>
      <c r="E60" s="36">
        <f>G60+M60+S60+AG60+AM60</f>
        <v>41999</v>
      </c>
      <c r="F60" s="36">
        <f>H60+N60+T60+AH60+AN60</f>
        <v>33675</v>
      </c>
      <c r="G60" s="36">
        <f>SUM(I60+K60)</f>
        <v>14505</v>
      </c>
      <c r="H60" s="36">
        <f>SUM(J60+L60)</f>
        <v>13847</v>
      </c>
      <c r="I60" s="36">
        <v>14505</v>
      </c>
      <c r="J60" s="36">
        <v>13847</v>
      </c>
      <c r="K60" s="36">
        <v>0</v>
      </c>
      <c r="L60" s="36">
        <v>0</v>
      </c>
      <c r="M60" s="36">
        <f>SUM(O60+Q60)</f>
        <v>0</v>
      </c>
      <c r="N60" s="36">
        <f>SUM(P60+R60)</f>
        <v>0</v>
      </c>
      <c r="O60" s="36">
        <v>0</v>
      </c>
      <c r="P60" s="36">
        <v>0</v>
      </c>
      <c r="Q60" s="36">
        <v>0</v>
      </c>
      <c r="R60" s="36">
        <v>0</v>
      </c>
      <c r="S60" s="36">
        <f>SUM(U60+W60+Y60+AA60+AC60+AE60)</f>
        <v>24421</v>
      </c>
      <c r="T60" s="36">
        <f>SUM(V60+X60+Z60+AB60+AD60+AF60)</f>
        <v>19566</v>
      </c>
      <c r="U60" s="36">
        <v>23863</v>
      </c>
      <c r="V60" s="36">
        <v>19039</v>
      </c>
      <c r="W60" s="36">
        <v>341</v>
      </c>
      <c r="X60" s="36">
        <v>324</v>
      </c>
      <c r="Y60" s="36">
        <v>0</v>
      </c>
      <c r="Z60" s="36">
        <v>0</v>
      </c>
      <c r="AA60" s="36">
        <v>0</v>
      </c>
      <c r="AB60" s="36">
        <v>0</v>
      </c>
      <c r="AC60" s="36">
        <v>217</v>
      </c>
      <c r="AD60" s="36">
        <v>203</v>
      </c>
      <c r="AE60" s="36">
        <v>0</v>
      </c>
      <c r="AF60" s="36">
        <v>0</v>
      </c>
      <c r="AG60" s="36">
        <f>SUM(AI60+AK60)</f>
        <v>2321</v>
      </c>
      <c r="AH60" s="36">
        <f>SUM(AJ60+AL60)</f>
        <v>0</v>
      </c>
      <c r="AI60" s="36">
        <v>2321</v>
      </c>
      <c r="AJ60" s="36">
        <v>0</v>
      </c>
      <c r="AK60" s="36">
        <v>0</v>
      </c>
      <c r="AL60" s="36">
        <v>0</v>
      </c>
      <c r="AM60" s="36">
        <f>SUM(AO60+AQ60+AS60+AU60)</f>
        <v>752</v>
      </c>
      <c r="AN60" s="36">
        <f>SUM(AP60+AR60+AT60+AV60)</f>
        <v>262</v>
      </c>
      <c r="AO60" s="36">
        <v>0</v>
      </c>
      <c r="AP60" s="36">
        <v>0</v>
      </c>
      <c r="AQ60" s="36">
        <v>0</v>
      </c>
      <c r="AR60" s="36">
        <v>0</v>
      </c>
      <c r="AS60" s="36">
        <v>262</v>
      </c>
      <c r="AT60" s="36">
        <v>79</v>
      </c>
      <c r="AU60" s="36">
        <v>490</v>
      </c>
      <c r="AV60" s="36">
        <v>183</v>
      </c>
      <c r="AW60" s="36">
        <f t="shared" si="118"/>
        <v>1588</v>
      </c>
      <c r="AX60" s="36">
        <f>AZ60+BL60+CH60+CN60+CX60</f>
        <v>1357</v>
      </c>
      <c r="AY60" s="36">
        <f aca="true" t="shared" si="134" ref="AY60:AZ70">SUM(BA60,BC60,BE60,BG60,BI60)</f>
        <v>0</v>
      </c>
      <c r="AZ60" s="36">
        <f t="shared" si="119"/>
        <v>0</v>
      </c>
      <c r="BA60" s="36">
        <v>0</v>
      </c>
      <c r="BB60" s="36">
        <v>0</v>
      </c>
      <c r="BC60" s="36">
        <v>0</v>
      </c>
      <c r="BD60" s="36">
        <v>0</v>
      </c>
      <c r="BE60" s="36"/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f t="shared" si="120"/>
        <v>1327</v>
      </c>
      <c r="BL60" s="36">
        <f t="shared" si="120"/>
        <v>933</v>
      </c>
      <c r="BM60" s="36">
        <f t="shared" si="121"/>
        <v>625</v>
      </c>
      <c r="BN60" s="36">
        <f t="shared" si="121"/>
        <v>180</v>
      </c>
      <c r="BO60" s="36">
        <v>4037</v>
      </c>
      <c r="BP60" s="36">
        <v>3872</v>
      </c>
      <c r="BQ60" s="36">
        <v>-3412</v>
      </c>
      <c r="BR60" s="36">
        <v>-3692</v>
      </c>
      <c r="BS60" s="36">
        <f>BU60+BW60</f>
        <v>0</v>
      </c>
      <c r="BT60" s="36">
        <f>BV60+BX60</f>
        <v>0</v>
      </c>
      <c r="BU60" s="36">
        <v>0</v>
      </c>
      <c r="BV60" s="36">
        <v>0</v>
      </c>
      <c r="BW60" s="36">
        <v>0</v>
      </c>
      <c r="BX60" s="36">
        <v>0</v>
      </c>
      <c r="BY60" s="36">
        <f t="shared" si="132"/>
        <v>0</v>
      </c>
      <c r="BZ60" s="36">
        <f t="shared" si="122"/>
        <v>0</v>
      </c>
      <c r="CA60" s="36">
        <v>0</v>
      </c>
      <c r="CB60" s="36">
        <v>25</v>
      </c>
      <c r="CC60" s="37">
        <v>0</v>
      </c>
      <c r="CD60" s="37">
        <v>-25</v>
      </c>
      <c r="CE60" s="36">
        <v>702</v>
      </c>
      <c r="CF60" s="36">
        <v>753</v>
      </c>
      <c r="CG60" s="36">
        <f t="shared" si="123"/>
        <v>169</v>
      </c>
      <c r="CH60" s="36">
        <f t="shared" si="123"/>
        <v>189</v>
      </c>
      <c r="CI60" s="36">
        <v>278</v>
      </c>
      <c r="CJ60" s="36">
        <v>308</v>
      </c>
      <c r="CK60" s="36">
        <v>-109</v>
      </c>
      <c r="CL60" s="36">
        <v>-119</v>
      </c>
      <c r="CM60" s="36">
        <f t="shared" si="124"/>
        <v>0</v>
      </c>
      <c r="CN60" s="36">
        <f t="shared" si="124"/>
        <v>0</v>
      </c>
      <c r="CO60" s="36">
        <v>0</v>
      </c>
      <c r="CP60" s="36">
        <v>0</v>
      </c>
      <c r="CQ60" s="36">
        <v>0</v>
      </c>
      <c r="CR60" s="36">
        <v>0</v>
      </c>
      <c r="CS60" s="36">
        <v>0</v>
      </c>
      <c r="CT60" s="36">
        <v>0</v>
      </c>
      <c r="CU60" s="36">
        <v>0</v>
      </c>
      <c r="CV60" s="36">
        <v>0</v>
      </c>
      <c r="CW60" s="36">
        <f t="shared" si="125"/>
        <v>92</v>
      </c>
      <c r="CX60" s="36">
        <f t="shared" si="125"/>
        <v>235</v>
      </c>
      <c r="CY60" s="36">
        <v>92</v>
      </c>
      <c r="CZ60" s="36">
        <v>235</v>
      </c>
      <c r="DA60" s="36">
        <v>0</v>
      </c>
      <c r="DB60" s="36">
        <v>0</v>
      </c>
      <c r="DC60" s="36">
        <v>0</v>
      </c>
      <c r="DD60" s="36">
        <v>0</v>
      </c>
      <c r="DE60" s="36">
        <f>DG60+FA60</f>
        <v>43587</v>
      </c>
      <c r="DF60" s="36">
        <f t="shared" si="126"/>
        <v>35032</v>
      </c>
      <c r="DG60" s="36">
        <f t="shared" si="127"/>
        <v>32100</v>
      </c>
      <c r="DH60" s="36">
        <f t="shared" si="127"/>
        <v>28187</v>
      </c>
      <c r="DI60" s="36">
        <f t="shared" si="128"/>
        <v>31450</v>
      </c>
      <c r="DJ60" s="36">
        <f t="shared" si="128"/>
        <v>28171</v>
      </c>
      <c r="DK60" s="36">
        <v>0</v>
      </c>
      <c r="DL60" s="36">
        <v>0</v>
      </c>
      <c r="DM60" s="36">
        <v>6109</v>
      </c>
      <c r="DN60" s="36">
        <v>5491</v>
      </c>
      <c r="DO60" s="36">
        <v>5</v>
      </c>
      <c r="DP60" s="36">
        <v>0</v>
      </c>
      <c r="DQ60" s="36">
        <v>330</v>
      </c>
      <c r="DR60" s="36">
        <v>341</v>
      </c>
      <c r="DS60" s="36">
        <v>5960</v>
      </c>
      <c r="DT60" s="36">
        <v>6229</v>
      </c>
      <c r="DU60" s="36">
        <v>821</v>
      </c>
      <c r="DV60" s="36">
        <v>33</v>
      </c>
      <c r="DW60" s="36">
        <v>0</v>
      </c>
      <c r="DX60" s="36">
        <v>0</v>
      </c>
      <c r="DY60" s="36">
        <v>0</v>
      </c>
      <c r="DZ60" s="36">
        <v>0</v>
      </c>
      <c r="EA60" s="36">
        <v>16771</v>
      </c>
      <c r="EB60" s="36">
        <v>11240</v>
      </c>
      <c r="EC60" s="36">
        <v>0</v>
      </c>
      <c r="ED60" s="36">
        <v>0</v>
      </c>
      <c r="EE60" s="36">
        <v>1454</v>
      </c>
      <c r="EF60" s="36">
        <v>4837</v>
      </c>
      <c r="EG60" s="36">
        <f t="shared" si="129"/>
        <v>650</v>
      </c>
      <c r="EH60" s="37">
        <f t="shared" si="94"/>
        <v>16</v>
      </c>
      <c r="EI60" s="36">
        <v>0</v>
      </c>
      <c r="EJ60" s="36">
        <v>0</v>
      </c>
      <c r="EK60" s="36">
        <v>0</v>
      </c>
      <c r="EL60" s="36">
        <v>0</v>
      </c>
      <c r="EM60" s="36">
        <v>0</v>
      </c>
      <c r="EN60" s="36">
        <v>0</v>
      </c>
      <c r="EO60" s="36">
        <v>0</v>
      </c>
      <c r="EP60" s="36">
        <v>0</v>
      </c>
      <c r="EQ60" s="36">
        <v>0</v>
      </c>
      <c r="ER60" s="36">
        <v>0</v>
      </c>
      <c r="ES60" s="36">
        <v>0</v>
      </c>
      <c r="ET60" s="36">
        <v>0</v>
      </c>
      <c r="EU60" s="36">
        <v>0</v>
      </c>
      <c r="EV60" s="36">
        <v>0</v>
      </c>
      <c r="EW60" s="36">
        <v>600</v>
      </c>
      <c r="EX60" s="36">
        <v>16</v>
      </c>
      <c r="EY60" s="36">
        <v>50</v>
      </c>
      <c r="EZ60" s="36">
        <v>0</v>
      </c>
      <c r="FA60" s="36">
        <f t="shared" si="130"/>
        <v>11487</v>
      </c>
      <c r="FB60" s="36">
        <f t="shared" si="130"/>
        <v>6845</v>
      </c>
      <c r="FC60" s="36">
        <f t="shared" si="131"/>
        <v>17235</v>
      </c>
      <c r="FD60" s="36">
        <f t="shared" si="131"/>
        <v>13522</v>
      </c>
      <c r="FE60" s="36">
        <v>6826</v>
      </c>
      <c r="FF60" s="36">
        <v>6341</v>
      </c>
      <c r="FG60" s="36">
        <v>0</v>
      </c>
      <c r="FH60" s="36">
        <v>0</v>
      </c>
      <c r="FI60" s="36">
        <v>0</v>
      </c>
      <c r="FJ60" s="36">
        <v>0</v>
      </c>
      <c r="FK60" s="36">
        <v>0</v>
      </c>
      <c r="FL60" s="36">
        <v>0</v>
      </c>
      <c r="FM60" s="36">
        <v>0</v>
      </c>
      <c r="FN60" s="36">
        <v>0</v>
      </c>
      <c r="FO60" s="36">
        <v>0</v>
      </c>
      <c r="FP60" s="36">
        <v>0</v>
      </c>
      <c r="FQ60" s="36">
        <v>0</v>
      </c>
      <c r="FR60" s="36">
        <v>0</v>
      </c>
      <c r="FS60" s="36">
        <v>1538</v>
      </c>
      <c r="FT60" s="36">
        <v>1538</v>
      </c>
      <c r="FU60" s="36">
        <v>0</v>
      </c>
      <c r="FV60" s="36">
        <v>0</v>
      </c>
      <c r="FW60" s="36">
        <v>8871</v>
      </c>
      <c r="FX60" s="36">
        <v>5643</v>
      </c>
      <c r="FY60" s="36">
        <v>0</v>
      </c>
      <c r="FZ60" s="36">
        <v>0</v>
      </c>
      <c r="GA60" s="36">
        <v>0</v>
      </c>
      <c r="GB60" s="36">
        <v>0</v>
      </c>
      <c r="GC60" s="36">
        <f t="shared" si="62"/>
        <v>-5748</v>
      </c>
      <c r="GD60" s="36">
        <f t="shared" si="63"/>
        <v>-6677</v>
      </c>
      <c r="GE60" s="36">
        <v>0</v>
      </c>
      <c r="GF60" s="36">
        <v>0</v>
      </c>
      <c r="GG60" s="36">
        <v>-5748</v>
      </c>
      <c r="GH60" s="36">
        <v>-6677</v>
      </c>
      <c r="GI60" s="36">
        <v>0</v>
      </c>
      <c r="GJ60" s="36">
        <v>0</v>
      </c>
      <c r="GK60" s="36">
        <v>0</v>
      </c>
      <c r="GL60" s="36">
        <v>0</v>
      </c>
      <c r="GM60" s="36">
        <v>0</v>
      </c>
      <c r="GN60" s="36">
        <v>0</v>
      </c>
      <c r="GO60" s="36">
        <v>0</v>
      </c>
      <c r="GP60" s="36">
        <v>0</v>
      </c>
      <c r="GQ60" s="36">
        <v>0</v>
      </c>
      <c r="GR60" s="36">
        <v>0</v>
      </c>
      <c r="GS60" s="36">
        <v>0</v>
      </c>
      <c r="GT60" s="36">
        <v>0</v>
      </c>
      <c r="GU60" s="36">
        <v>0</v>
      </c>
      <c r="GV60" s="36">
        <v>0</v>
      </c>
      <c r="GW60" s="67"/>
      <c r="GX60" s="67"/>
      <c r="GY60" s="67"/>
      <c r="GZ60" s="67"/>
      <c r="HA60" s="67"/>
      <c r="HB60" s="31">
        <f t="shared" si="109"/>
        <v>0</v>
      </c>
      <c r="HC60" s="31">
        <f t="shared" si="110"/>
        <v>0</v>
      </c>
    </row>
    <row r="61" spans="1:211" s="13" customFormat="1" ht="17.25" customHeight="1">
      <c r="A61" s="23">
        <v>44</v>
      </c>
      <c r="B61" s="24" t="s">
        <v>229</v>
      </c>
      <c r="C61" s="36">
        <f aca="true" t="shared" si="135" ref="C61:D70">E61+AW61</f>
        <v>36613</v>
      </c>
      <c r="D61" s="36">
        <f t="shared" si="111"/>
        <v>38436</v>
      </c>
      <c r="E61" s="36">
        <f aca="true" t="shared" si="136" ref="E61:F70">G61+M61+S61+AG61+AM61</f>
        <v>33523</v>
      </c>
      <c r="F61" s="36">
        <f t="shared" si="136"/>
        <v>34050</v>
      </c>
      <c r="G61" s="36">
        <f aca="true" t="shared" si="137" ref="G61:H70">SUM(I61+K61)</f>
        <v>1598</v>
      </c>
      <c r="H61" s="36">
        <f t="shared" si="137"/>
        <v>2827</v>
      </c>
      <c r="I61" s="36">
        <v>1598</v>
      </c>
      <c r="J61" s="36">
        <v>2827</v>
      </c>
      <c r="K61" s="36">
        <v>0</v>
      </c>
      <c r="L61" s="36">
        <v>0</v>
      </c>
      <c r="M61" s="36">
        <f aca="true" t="shared" si="138" ref="M61:N70">SUM(O61+Q61)</f>
        <v>0</v>
      </c>
      <c r="N61" s="36">
        <f t="shared" si="138"/>
        <v>0</v>
      </c>
      <c r="O61" s="36"/>
      <c r="P61" s="36"/>
      <c r="Q61" s="36"/>
      <c r="R61" s="36"/>
      <c r="S61" s="36">
        <f aca="true" t="shared" si="139" ref="S61:T70">SUM(U61+W61+Y61+AA61+AC61+AE61)</f>
        <v>19462</v>
      </c>
      <c r="T61" s="36">
        <f t="shared" si="139"/>
        <v>23691</v>
      </c>
      <c r="U61" s="36">
        <v>19046</v>
      </c>
      <c r="V61" s="36">
        <v>23215</v>
      </c>
      <c r="W61" s="36">
        <v>0</v>
      </c>
      <c r="X61" s="36">
        <v>350</v>
      </c>
      <c r="Y61" s="36">
        <v>0</v>
      </c>
      <c r="Z61" s="36">
        <v>0</v>
      </c>
      <c r="AA61" s="36">
        <v>0</v>
      </c>
      <c r="AB61" s="36">
        <v>0</v>
      </c>
      <c r="AC61" s="36">
        <v>416</v>
      </c>
      <c r="AD61" s="36">
        <v>126</v>
      </c>
      <c r="AE61" s="36">
        <v>0</v>
      </c>
      <c r="AF61" s="36">
        <v>0</v>
      </c>
      <c r="AG61" s="36">
        <f aca="true" t="shared" si="140" ref="AG61:AH70">SUM(AI61+AK61)</f>
        <v>11545</v>
      </c>
      <c r="AH61" s="36">
        <f t="shared" si="140"/>
        <v>6497</v>
      </c>
      <c r="AI61" s="36">
        <v>11545</v>
      </c>
      <c r="AJ61" s="36">
        <v>6497</v>
      </c>
      <c r="AK61" s="36">
        <v>0</v>
      </c>
      <c r="AL61" s="36">
        <v>0</v>
      </c>
      <c r="AM61" s="36">
        <f aca="true" t="shared" si="141" ref="AM61:AN70">SUM(AO61+AQ61+AS61+AU61)</f>
        <v>918</v>
      </c>
      <c r="AN61" s="36">
        <f t="shared" si="141"/>
        <v>1035</v>
      </c>
      <c r="AO61" s="36">
        <v>0</v>
      </c>
      <c r="AP61" s="36">
        <v>604</v>
      </c>
      <c r="AQ61" s="36">
        <v>0</v>
      </c>
      <c r="AR61" s="36">
        <v>0</v>
      </c>
      <c r="AS61" s="36">
        <v>0</v>
      </c>
      <c r="AT61" s="36">
        <v>0</v>
      </c>
      <c r="AU61" s="36">
        <v>918</v>
      </c>
      <c r="AV61" s="36">
        <v>431</v>
      </c>
      <c r="AW61" s="36">
        <f t="shared" si="118"/>
        <v>3090</v>
      </c>
      <c r="AX61" s="36">
        <f t="shared" si="118"/>
        <v>4386</v>
      </c>
      <c r="AY61" s="36">
        <f t="shared" si="134"/>
        <v>0</v>
      </c>
      <c r="AZ61" s="36">
        <f t="shared" si="119"/>
        <v>0</v>
      </c>
      <c r="BA61" s="36">
        <v>0</v>
      </c>
      <c r="BB61" s="36">
        <v>0</v>
      </c>
      <c r="BC61" s="36"/>
      <c r="BD61" s="36"/>
      <c r="BE61" s="36"/>
      <c r="BF61" s="36"/>
      <c r="BG61" s="36"/>
      <c r="BH61" s="36"/>
      <c r="BI61" s="36"/>
      <c r="BJ61" s="36"/>
      <c r="BK61" s="36">
        <f t="shared" si="120"/>
        <v>3060</v>
      </c>
      <c r="BL61" s="36">
        <f t="shared" si="120"/>
        <v>4356</v>
      </c>
      <c r="BM61" s="36">
        <f t="shared" si="121"/>
        <v>3060</v>
      </c>
      <c r="BN61" s="36">
        <f t="shared" si="121"/>
        <v>4356</v>
      </c>
      <c r="BO61" s="36">
        <v>6905</v>
      </c>
      <c r="BP61" s="36">
        <v>6904</v>
      </c>
      <c r="BQ61" s="36">
        <v>-3845</v>
      </c>
      <c r="BR61" s="36">
        <v>-2548</v>
      </c>
      <c r="BS61" s="36"/>
      <c r="BT61" s="36"/>
      <c r="BU61" s="36"/>
      <c r="BV61" s="36"/>
      <c r="BW61" s="36"/>
      <c r="BX61" s="36"/>
      <c r="BY61" s="36">
        <f t="shared" si="132"/>
        <v>0</v>
      </c>
      <c r="BZ61" s="36">
        <f t="shared" si="122"/>
        <v>0</v>
      </c>
      <c r="CA61" s="36"/>
      <c r="CB61" s="36"/>
      <c r="CC61" s="37"/>
      <c r="CD61" s="37"/>
      <c r="CE61" s="36"/>
      <c r="CF61" s="36"/>
      <c r="CG61" s="36">
        <f t="shared" si="123"/>
        <v>30</v>
      </c>
      <c r="CH61" s="36">
        <f t="shared" si="123"/>
        <v>30</v>
      </c>
      <c r="CI61" s="36">
        <v>30</v>
      </c>
      <c r="CJ61" s="36">
        <v>30</v>
      </c>
      <c r="CK61" s="36">
        <v>0</v>
      </c>
      <c r="CL61" s="36">
        <v>0</v>
      </c>
      <c r="CM61" s="36">
        <f t="shared" si="124"/>
        <v>0</v>
      </c>
      <c r="CN61" s="36">
        <f t="shared" si="124"/>
        <v>0</v>
      </c>
      <c r="CO61" s="36"/>
      <c r="CP61" s="36"/>
      <c r="CQ61" s="36"/>
      <c r="CR61" s="36"/>
      <c r="CS61" s="36"/>
      <c r="CT61" s="36"/>
      <c r="CU61" s="36"/>
      <c r="CV61" s="36"/>
      <c r="CW61" s="36">
        <f t="shared" si="125"/>
        <v>0</v>
      </c>
      <c r="CX61" s="36">
        <f t="shared" si="125"/>
        <v>0</v>
      </c>
      <c r="CY61" s="36"/>
      <c r="CZ61" s="36"/>
      <c r="DA61" s="36"/>
      <c r="DB61" s="36"/>
      <c r="DC61" s="36"/>
      <c r="DD61" s="36"/>
      <c r="DE61" s="36">
        <f aca="true" t="shared" si="142" ref="DE61:DF70">DG61+FA61</f>
        <v>36613</v>
      </c>
      <c r="DF61" s="36">
        <f t="shared" si="126"/>
        <v>38436</v>
      </c>
      <c r="DG61" s="36">
        <f t="shared" si="127"/>
        <v>25014</v>
      </c>
      <c r="DH61" s="36">
        <f t="shared" si="127"/>
        <v>29448</v>
      </c>
      <c r="DI61" s="36">
        <f t="shared" si="128"/>
        <v>23628</v>
      </c>
      <c r="DJ61" s="36">
        <f t="shared" si="128"/>
        <v>29209</v>
      </c>
      <c r="DK61" s="36">
        <v>0</v>
      </c>
      <c r="DL61" s="36">
        <v>0</v>
      </c>
      <c r="DM61" s="36">
        <v>18660</v>
      </c>
      <c r="DN61" s="36">
        <v>18986</v>
      </c>
      <c r="DO61" s="36">
        <v>451</v>
      </c>
      <c r="DP61" s="36">
        <v>4494</v>
      </c>
      <c r="DQ61" s="36">
        <v>685</v>
      </c>
      <c r="DR61" s="36">
        <v>2320</v>
      </c>
      <c r="DS61" s="36">
        <v>2660</v>
      </c>
      <c r="DT61" s="36">
        <v>1049</v>
      </c>
      <c r="DU61" s="36"/>
      <c r="DV61" s="36"/>
      <c r="DW61" s="36"/>
      <c r="DX61" s="36"/>
      <c r="DY61" s="36"/>
      <c r="DZ61" s="36"/>
      <c r="EA61" s="36">
        <v>2008</v>
      </c>
      <c r="EB61" s="36">
        <v>2356</v>
      </c>
      <c r="EC61" s="36">
        <v>0</v>
      </c>
      <c r="ED61" s="36">
        <v>0</v>
      </c>
      <c r="EE61" s="36">
        <v>-836</v>
      </c>
      <c r="EF61" s="36">
        <v>4</v>
      </c>
      <c r="EG61" s="36">
        <f t="shared" si="129"/>
        <v>1386</v>
      </c>
      <c r="EH61" s="37">
        <f t="shared" si="94"/>
        <v>239</v>
      </c>
      <c r="EI61" s="36"/>
      <c r="EJ61" s="36"/>
      <c r="EK61" s="36"/>
      <c r="EL61" s="36"/>
      <c r="EM61" s="36">
        <v>226</v>
      </c>
      <c r="EN61" s="36">
        <v>239</v>
      </c>
      <c r="EO61" s="36">
        <v>0</v>
      </c>
      <c r="EP61" s="36">
        <v>0</v>
      </c>
      <c r="EQ61" s="36">
        <v>0</v>
      </c>
      <c r="ER61" s="36">
        <v>0</v>
      </c>
      <c r="ES61" s="36">
        <v>0</v>
      </c>
      <c r="ET61" s="36">
        <v>0</v>
      </c>
      <c r="EU61" s="36">
        <v>773</v>
      </c>
      <c r="EV61" s="36"/>
      <c r="EW61" s="36">
        <v>0</v>
      </c>
      <c r="EX61" s="36">
        <v>0</v>
      </c>
      <c r="EY61" s="36">
        <v>387</v>
      </c>
      <c r="EZ61" s="36">
        <v>0</v>
      </c>
      <c r="FA61" s="36">
        <f t="shared" si="130"/>
        <v>11599</v>
      </c>
      <c r="FB61" s="36">
        <f t="shared" si="130"/>
        <v>8988</v>
      </c>
      <c r="FC61" s="36">
        <f t="shared" si="131"/>
        <v>11564</v>
      </c>
      <c r="FD61" s="36">
        <f t="shared" si="131"/>
        <v>8953</v>
      </c>
      <c r="FE61" s="36">
        <v>5617</v>
      </c>
      <c r="FF61" s="36">
        <v>5617</v>
      </c>
      <c r="FG61" s="36">
        <v>0</v>
      </c>
      <c r="FH61" s="36">
        <v>0</v>
      </c>
      <c r="FI61" s="36">
        <v>593</v>
      </c>
      <c r="FJ61" s="36">
        <v>592</v>
      </c>
      <c r="FK61" s="36"/>
      <c r="FL61" s="36"/>
      <c r="FM61" s="36"/>
      <c r="FN61" s="36"/>
      <c r="FO61" s="36"/>
      <c r="FP61" s="36"/>
      <c r="FQ61" s="36">
        <v>0</v>
      </c>
      <c r="FR61" s="36">
        <v>0</v>
      </c>
      <c r="FS61" s="36">
        <v>227</v>
      </c>
      <c r="FT61" s="36">
        <v>227</v>
      </c>
      <c r="FU61" s="36">
        <v>0</v>
      </c>
      <c r="FV61" s="36">
        <v>0</v>
      </c>
      <c r="FW61" s="36">
        <v>5127</v>
      </c>
      <c r="FX61" s="36">
        <v>2517</v>
      </c>
      <c r="FY61" s="36"/>
      <c r="FZ61" s="36"/>
      <c r="GA61" s="36"/>
      <c r="GB61" s="36"/>
      <c r="GC61" s="36">
        <f t="shared" si="62"/>
        <v>35</v>
      </c>
      <c r="GD61" s="36">
        <f t="shared" si="63"/>
        <v>35</v>
      </c>
      <c r="GE61" s="36"/>
      <c r="GF61" s="36"/>
      <c r="GG61" s="36">
        <v>5</v>
      </c>
      <c r="GH61" s="36">
        <v>5</v>
      </c>
      <c r="GI61" s="36">
        <v>30</v>
      </c>
      <c r="GJ61" s="36">
        <v>30</v>
      </c>
      <c r="GK61" s="36">
        <v>0</v>
      </c>
      <c r="GL61" s="36">
        <v>0</v>
      </c>
      <c r="GM61" s="36">
        <v>0</v>
      </c>
      <c r="GN61" s="36">
        <v>0</v>
      </c>
      <c r="GO61" s="36">
        <v>0</v>
      </c>
      <c r="GP61" s="36">
        <v>0</v>
      </c>
      <c r="GQ61" s="36">
        <v>0</v>
      </c>
      <c r="GR61" s="36">
        <v>0</v>
      </c>
      <c r="GS61" s="36">
        <v>0</v>
      </c>
      <c r="GT61" s="36">
        <v>0</v>
      </c>
      <c r="GU61" s="36"/>
      <c r="GV61" s="36"/>
      <c r="GW61" s="67"/>
      <c r="GX61" s="67"/>
      <c r="GY61" s="67"/>
      <c r="GZ61" s="67"/>
      <c r="HA61" s="67"/>
      <c r="HB61" s="31">
        <f t="shared" si="109"/>
        <v>0</v>
      </c>
      <c r="HC61" s="31">
        <f t="shared" si="110"/>
        <v>0</v>
      </c>
    </row>
    <row r="62" spans="1:211" s="14" customFormat="1" ht="17.25" customHeight="1">
      <c r="A62" s="23">
        <v>45</v>
      </c>
      <c r="B62" s="24" t="s">
        <v>230</v>
      </c>
      <c r="C62" s="36">
        <f>E62+AW62</f>
        <v>347912</v>
      </c>
      <c r="D62" s="36">
        <f t="shared" si="111"/>
        <v>287659</v>
      </c>
      <c r="E62" s="36">
        <f t="shared" si="136"/>
        <v>221475</v>
      </c>
      <c r="F62" s="36">
        <f t="shared" si="136"/>
        <v>223234</v>
      </c>
      <c r="G62" s="36">
        <f t="shared" si="137"/>
        <v>93964</v>
      </c>
      <c r="H62" s="36">
        <f t="shared" si="137"/>
        <v>81236</v>
      </c>
      <c r="I62" s="36">
        <v>19716</v>
      </c>
      <c r="J62" s="36">
        <v>13895</v>
      </c>
      <c r="K62" s="36">
        <v>74248</v>
      </c>
      <c r="L62" s="36">
        <v>67341</v>
      </c>
      <c r="M62" s="36">
        <f t="shared" si="138"/>
        <v>0</v>
      </c>
      <c r="N62" s="36">
        <f t="shared" si="138"/>
        <v>0</v>
      </c>
      <c r="O62" s="36"/>
      <c r="P62" s="36"/>
      <c r="Q62" s="36"/>
      <c r="R62" s="36"/>
      <c r="S62" s="36">
        <f t="shared" si="139"/>
        <v>72351</v>
      </c>
      <c r="T62" s="36">
        <f t="shared" si="139"/>
        <v>67018</v>
      </c>
      <c r="U62" s="36">
        <v>13547</v>
      </c>
      <c r="V62" s="36">
        <v>8967</v>
      </c>
      <c r="W62" s="36">
        <v>56597</v>
      </c>
      <c r="X62" s="36">
        <v>54569</v>
      </c>
      <c r="Y62" s="36">
        <v>0</v>
      </c>
      <c r="Z62" s="36">
        <v>0</v>
      </c>
      <c r="AA62" s="36"/>
      <c r="AB62" s="36"/>
      <c r="AC62" s="36">
        <v>2207</v>
      </c>
      <c r="AD62" s="36">
        <v>3482</v>
      </c>
      <c r="AE62" s="36"/>
      <c r="AF62" s="36"/>
      <c r="AG62" s="36">
        <f t="shared" si="140"/>
        <v>44453</v>
      </c>
      <c r="AH62" s="36">
        <f t="shared" si="140"/>
        <v>62855</v>
      </c>
      <c r="AI62" s="36">
        <v>44453</v>
      </c>
      <c r="AJ62" s="36">
        <v>62855</v>
      </c>
      <c r="AK62" s="36"/>
      <c r="AL62" s="36"/>
      <c r="AM62" s="36">
        <f t="shared" si="141"/>
        <v>10707</v>
      </c>
      <c r="AN62" s="36">
        <f t="shared" si="141"/>
        <v>12125</v>
      </c>
      <c r="AO62" s="36">
        <v>19</v>
      </c>
      <c r="AP62" s="36">
        <v>0</v>
      </c>
      <c r="AQ62" s="36"/>
      <c r="AR62" s="36"/>
      <c r="AS62" s="36">
        <v>3411</v>
      </c>
      <c r="AT62" s="36">
        <v>3952</v>
      </c>
      <c r="AU62" s="36">
        <v>7277</v>
      </c>
      <c r="AV62" s="36">
        <v>8173</v>
      </c>
      <c r="AW62" s="36">
        <f t="shared" si="118"/>
        <v>126437</v>
      </c>
      <c r="AX62" s="36">
        <f t="shared" si="118"/>
        <v>64425</v>
      </c>
      <c r="AY62" s="36">
        <f t="shared" si="134"/>
        <v>0</v>
      </c>
      <c r="AZ62" s="36">
        <f t="shared" si="119"/>
        <v>0</v>
      </c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>
        <f t="shared" si="120"/>
        <v>22736</v>
      </c>
      <c r="BL62" s="36">
        <f t="shared" si="120"/>
        <v>58654</v>
      </c>
      <c r="BM62" s="36">
        <f t="shared" si="121"/>
        <v>22629</v>
      </c>
      <c r="BN62" s="36">
        <f t="shared" si="121"/>
        <v>9342</v>
      </c>
      <c r="BO62" s="36">
        <v>43303</v>
      </c>
      <c r="BP62" s="36">
        <v>27797</v>
      </c>
      <c r="BQ62" s="36">
        <v>-20674</v>
      </c>
      <c r="BR62" s="36">
        <v>-18455</v>
      </c>
      <c r="BS62" s="36"/>
      <c r="BT62" s="36"/>
      <c r="BU62" s="36"/>
      <c r="BV62" s="36"/>
      <c r="BW62" s="36"/>
      <c r="BX62" s="36"/>
      <c r="BY62" s="36">
        <v>0</v>
      </c>
      <c r="BZ62" s="36">
        <v>0</v>
      </c>
      <c r="CA62" s="36">
        <v>0</v>
      </c>
      <c r="CB62" s="36">
        <v>23</v>
      </c>
      <c r="CC62" s="37">
        <v>0</v>
      </c>
      <c r="CD62" s="37">
        <v>-23</v>
      </c>
      <c r="CE62" s="36">
        <v>107</v>
      </c>
      <c r="CF62" s="36">
        <v>49312</v>
      </c>
      <c r="CG62" s="36">
        <f t="shared" si="123"/>
        <v>101338</v>
      </c>
      <c r="CH62" s="36">
        <f t="shared" si="123"/>
        <v>3408</v>
      </c>
      <c r="CI62" s="36">
        <v>107229</v>
      </c>
      <c r="CJ62" s="36">
        <v>10283</v>
      </c>
      <c r="CK62" s="36">
        <v>-5891</v>
      </c>
      <c r="CL62" s="36">
        <v>-6875</v>
      </c>
      <c r="CM62" s="36">
        <f t="shared" si="124"/>
        <v>2351</v>
      </c>
      <c r="CN62" s="36">
        <f t="shared" si="124"/>
        <v>2351</v>
      </c>
      <c r="CO62" s="36">
        <v>2351</v>
      </c>
      <c r="CP62" s="36">
        <v>2351</v>
      </c>
      <c r="CQ62" s="36"/>
      <c r="CR62" s="36"/>
      <c r="CS62" s="36"/>
      <c r="CT62" s="36"/>
      <c r="CU62" s="36"/>
      <c r="CV62" s="36"/>
      <c r="CW62" s="36">
        <f t="shared" si="125"/>
        <v>12</v>
      </c>
      <c r="CX62" s="36">
        <f t="shared" si="125"/>
        <v>12</v>
      </c>
      <c r="CY62" s="36">
        <v>12</v>
      </c>
      <c r="CZ62" s="36">
        <v>12</v>
      </c>
      <c r="DA62" s="36"/>
      <c r="DB62" s="36"/>
      <c r="DC62" s="36"/>
      <c r="DD62" s="36"/>
      <c r="DE62" s="36">
        <f t="shared" si="142"/>
        <v>347912</v>
      </c>
      <c r="DF62" s="36">
        <f t="shared" si="126"/>
        <v>287659</v>
      </c>
      <c r="DG62" s="36">
        <f t="shared" si="127"/>
        <v>164424</v>
      </c>
      <c r="DH62" s="36">
        <f t="shared" si="127"/>
        <v>213428</v>
      </c>
      <c r="DI62" s="36">
        <f t="shared" si="128"/>
        <v>155026</v>
      </c>
      <c r="DJ62" s="36">
        <f t="shared" si="128"/>
        <v>144247</v>
      </c>
      <c r="DK62" s="36"/>
      <c r="DL62" s="36"/>
      <c r="DM62" s="36">
        <v>36108</v>
      </c>
      <c r="DN62" s="36">
        <v>16406</v>
      </c>
      <c r="DO62" s="36">
        <v>81771</v>
      </c>
      <c r="DP62" s="36">
        <v>94324</v>
      </c>
      <c r="DQ62" s="36">
        <v>3249</v>
      </c>
      <c r="DR62" s="36">
        <v>3551</v>
      </c>
      <c r="DS62" s="36">
        <v>25532</v>
      </c>
      <c r="DT62" s="36">
        <v>19421</v>
      </c>
      <c r="DU62" s="36"/>
      <c r="DV62" s="36"/>
      <c r="DW62" s="36"/>
      <c r="DX62" s="36"/>
      <c r="DY62" s="36"/>
      <c r="DZ62" s="36"/>
      <c r="EA62" s="36">
        <v>2448</v>
      </c>
      <c r="EB62" s="36">
        <v>3344</v>
      </c>
      <c r="EC62" s="36"/>
      <c r="ED62" s="36"/>
      <c r="EE62" s="36">
        <v>5918</v>
      </c>
      <c r="EF62" s="36">
        <v>7201</v>
      </c>
      <c r="EG62" s="36">
        <f t="shared" si="129"/>
        <v>9398</v>
      </c>
      <c r="EH62" s="37">
        <f t="shared" si="94"/>
        <v>69181</v>
      </c>
      <c r="EI62" s="36"/>
      <c r="EJ62" s="36"/>
      <c r="EK62" s="36"/>
      <c r="EL62" s="36"/>
      <c r="EM62" s="36">
        <v>6600</v>
      </c>
      <c r="EN62" s="36">
        <v>66650</v>
      </c>
      <c r="EO62" s="36"/>
      <c r="EP62" s="36"/>
      <c r="EQ62" s="36"/>
      <c r="ER62" s="36"/>
      <c r="ES62" s="36"/>
      <c r="ET62" s="36"/>
      <c r="EU62" s="36"/>
      <c r="EV62" s="36"/>
      <c r="EW62" s="36">
        <v>2798</v>
      </c>
      <c r="EX62" s="36">
        <v>2531</v>
      </c>
      <c r="EY62" s="36"/>
      <c r="EZ62" s="36"/>
      <c r="FA62" s="36">
        <f t="shared" si="130"/>
        <v>183488</v>
      </c>
      <c r="FB62" s="36">
        <f t="shared" si="130"/>
        <v>74231</v>
      </c>
      <c r="FC62" s="36">
        <f t="shared" si="131"/>
        <v>75312</v>
      </c>
      <c r="FD62" s="36">
        <f t="shared" si="131"/>
        <v>64072</v>
      </c>
      <c r="FE62" s="36">
        <v>52203</v>
      </c>
      <c r="FF62" s="36">
        <v>50225</v>
      </c>
      <c r="FG62" s="36"/>
      <c r="FH62" s="36"/>
      <c r="FI62" s="36">
        <v>16184</v>
      </c>
      <c r="FJ62" s="36"/>
      <c r="FK62" s="36"/>
      <c r="FL62" s="36"/>
      <c r="FM62" s="36"/>
      <c r="FN62" s="36"/>
      <c r="FO62" s="36"/>
      <c r="FP62" s="36"/>
      <c r="FQ62" s="36">
        <v>1723</v>
      </c>
      <c r="FR62" s="36"/>
      <c r="FS62" s="36"/>
      <c r="FT62" s="36">
        <v>935</v>
      </c>
      <c r="FU62" s="36"/>
      <c r="FV62" s="36"/>
      <c r="FW62" s="36">
        <v>5202</v>
      </c>
      <c r="FX62" s="36">
        <v>12912</v>
      </c>
      <c r="FY62" s="36"/>
      <c r="FZ62" s="36"/>
      <c r="GA62" s="36"/>
      <c r="GB62" s="36"/>
      <c r="GC62" s="36">
        <f t="shared" si="62"/>
        <v>108176</v>
      </c>
      <c r="GD62" s="36">
        <f t="shared" si="63"/>
        <v>10159</v>
      </c>
      <c r="GE62" s="36"/>
      <c r="GF62" s="36"/>
      <c r="GG62" s="36">
        <v>6838</v>
      </c>
      <c r="GH62" s="36">
        <v>6751</v>
      </c>
      <c r="GI62" s="36">
        <v>101338</v>
      </c>
      <c r="GJ62" s="36">
        <v>3408</v>
      </c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68"/>
      <c r="GX62" s="68"/>
      <c r="GY62" s="68"/>
      <c r="GZ62" s="68"/>
      <c r="HA62" s="68"/>
      <c r="HB62" s="31">
        <f t="shared" si="109"/>
        <v>0</v>
      </c>
      <c r="HC62" s="31">
        <f t="shared" si="110"/>
        <v>0</v>
      </c>
    </row>
    <row r="63" spans="1:211" s="13" customFormat="1" ht="17.25" customHeight="1">
      <c r="A63" s="23">
        <v>46</v>
      </c>
      <c r="B63" s="24" t="s">
        <v>231</v>
      </c>
      <c r="C63" s="36">
        <f t="shared" si="135"/>
        <v>656050</v>
      </c>
      <c r="D63" s="36">
        <f t="shared" si="111"/>
        <v>330355</v>
      </c>
      <c r="E63" s="36">
        <f>G63+M63+S63+AG63+AM63</f>
        <v>82647</v>
      </c>
      <c r="F63" s="36">
        <f t="shared" si="136"/>
        <v>87835</v>
      </c>
      <c r="G63" s="36">
        <f>SUM(I63+K63)</f>
        <v>74768</v>
      </c>
      <c r="H63" s="36">
        <f t="shared" si="137"/>
        <v>80752</v>
      </c>
      <c r="I63" s="36">
        <v>24593</v>
      </c>
      <c r="J63" s="36">
        <v>4395</v>
      </c>
      <c r="K63" s="36">
        <v>50175</v>
      </c>
      <c r="L63" s="36">
        <v>76357</v>
      </c>
      <c r="M63" s="36">
        <f t="shared" si="138"/>
        <v>0</v>
      </c>
      <c r="N63" s="36">
        <f t="shared" si="138"/>
        <v>0</v>
      </c>
      <c r="O63" s="36">
        <v>0</v>
      </c>
      <c r="P63" s="36">
        <v>0</v>
      </c>
      <c r="Q63" s="36">
        <v>0</v>
      </c>
      <c r="R63" s="36">
        <v>0</v>
      </c>
      <c r="S63" s="36">
        <f t="shared" si="139"/>
        <v>6465</v>
      </c>
      <c r="T63" s="36">
        <f t="shared" si="139"/>
        <v>5571</v>
      </c>
      <c r="U63" s="36">
        <v>5923</v>
      </c>
      <c r="V63" s="36">
        <v>5465</v>
      </c>
      <c r="W63" s="36">
        <v>547</v>
      </c>
      <c r="X63" s="36">
        <v>9</v>
      </c>
      <c r="Y63" s="36">
        <v>0</v>
      </c>
      <c r="Z63" s="36">
        <v>0</v>
      </c>
      <c r="AA63" s="36">
        <v>0</v>
      </c>
      <c r="AB63" s="36">
        <v>0</v>
      </c>
      <c r="AC63" s="36">
        <v>681</v>
      </c>
      <c r="AD63" s="36">
        <v>866</v>
      </c>
      <c r="AE63" s="36">
        <v>-686</v>
      </c>
      <c r="AF63" s="36">
        <v>-769</v>
      </c>
      <c r="AG63" s="36">
        <f t="shared" si="140"/>
        <v>907</v>
      </c>
      <c r="AH63" s="36">
        <f t="shared" si="140"/>
        <v>67</v>
      </c>
      <c r="AI63" s="36">
        <v>907</v>
      </c>
      <c r="AJ63" s="36">
        <v>67</v>
      </c>
      <c r="AK63" s="36">
        <v>0</v>
      </c>
      <c r="AL63" s="36">
        <v>0</v>
      </c>
      <c r="AM63" s="36">
        <f t="shared" si="141"/>
        <v>507</v>
      </c>
      <c r="AN63" s="36">
        <f t="shared" si="141"/>
        <v>1445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50</v>
      </c>
      <c r="AU63" s="36">
        <v>507</v>
      </c>
      <c r="AV63" s="36">
        <v>1395</v>
      </c>
      <c r="AW63" s="36">
        <f t="shared" si="118"/>
        <v>573403</v>
      </c>
      <c r="AX63" s="36">
        <f t="shared" si="118"/>
        <v>242520</v>
      </c>
      <c r="AY63" s="36">
        <f t="shared" si="134"/>
        <v>0</v>
      </c>
      <c r="AZ63" s="36">
        <f t="shared" si="119"/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6">
        <v>0</v>
      </c>
      <c r="BK63" s="36">
        <f t="shared" si="120"/>
        <v>3669</v>
      </c>
      <c r="BL63" s="36">
        <f t="shared" si="120"/>
        <v>4291</v>
      </c>
      <c r="BM63" s="36">
        <f t="shared" si="121"/>
        <v>3669</v>
      </c>
      <c r="BN63" s="36">
        <f>BP63+BR63</f>
        <v>4291</v>
      </c>
      <c r="BO63" s="36">
        <v>9136</v>
      </c>
      <c r="BP63" s="36">
        <v>9668</v>
      </c>
      <c r="BQ63" s="36">
        <v>-5467</v>
      </c>
      <c r="BR63" s="36">
        <v>-5377</v>
      </c>
      <c r="BS63" s="36">
        <v>0</v>
      </c>
      <c r="BT63" s="36">
        <v>0</v>
      </c>
      <c r="BU63" s="36">
        <v>0</v>
      </c>
      <c r="BV63" s="36">
        <v>0</v>
      </c>
      <c r="BW63" s="36">
        <v>0</v>
      </c>
      <c r="BX63" s="36">
        <v>0</v>
      </c>
      <c r="BY63" s="36">
        <f t="shared" si="132"/>
        <v>0</v>
      </c>
      <c r="BZ63" s="36">
        <f t="shared" si="122"/>
        <v>0</v>
      </c>
      <c r="CA63" s="36">
        <v>55</v>
      </c>
      <c r="CB63" s="36">
        <v>55</v>
      </c>
      <c r="CC63" s="37">
        <v>-55</v>
      </c>
      <c r="CD63" s="37">
        <v>-55</v>
      </c>
      <c r="CE63" s="36">
        <v>0</v>
      </c>
      <c r="CF63" s="36">
        <v>0</v>
      </c>
      <c r="CG63" s="36">
        <f t="shared" si="123"/>
        <v>569641</v>
      </c>
      <c r="CH63" s="36">
        <f t="shared" si="123"/>
        <v>237996</v>
      </c>
      <c r="CI63" s="36">
        <v>580560</v>
      </c>
      <c r="CJ63" s="36">
        <v>251917</v>
      </c>
      <c r="CK63" s="36">
        <v>-10919</v>
      </c>
      <c r="CL63" s="36">
        <v>-13921</v>
      </c>
      <c r="CM63" s="36">
        <f t="shared" si="124"/>
        <v>0</v>
      </c>
      <c r="CN63" s="36">
        <f t="shared" si="124"/>
        <v>0</v>
      </c>
      <c r="CO63" s="36">
        <v>0</v>
      </c>
      <c r="CP63" s="36">
        <v>0</v>
      </c>
      <c r="CQ63" s="36">
        <v>0</v>
      </c>
      <c r="CR63" s="36">
        <v>0</v>
      </c>
      <c r="CS63" s="36">
        <v>0</v>
      </c>
      <c r="CT63" s="36">
        <v>0</v>
      </c>
      <c r="CU63" s="36">
        <v>0</v>
      </c>
      <c r="CV63" s="36">
        <v>0</v>
      </c>
      <c r="CW63" s="36">
        <f t="shared" si="125"/>
        <v>93</v>
      </c>
      <c r="CX63" s="36">
        <f t="shared" si="125"/>
        <v>233</v>
      </c>
      <c r="CY63" s="36">
        <v>93</v>
      </c>
      <c r="CZ63" s="36">
        <v>233</v>
      </c>
      <c r="DA63" s="36">
        <v>0</v>
      </c>
      <c r="DB63" s="36">
        <v>0</v>
      </c>
      <c r="DC63" s="36">
        <v>0</v>
      </c>
      <c r="DD63" s="36">
        <v>0</v>
      </c>
      <c r="DE63" s="36">
        <f t="shared" si="142"/>
        <v>656050</v>
      </c>
      <c r="DF63" s="36">
        <f t="shared" si="126"/>
        <v>330355</v>
      </c>
      <c r="DG63" s="36">
        <f t="shared" si="127"/>
        <v>27813</v>
      </c>
      <c r="DH63" s="36">
        <f t="shared" si="127"/>
        <v>32038</v>
      </c>
      <c r="DI63" s="36">
        <f t="shared" si="128"/>
        <v>26873</v>
      </c>
      <c r="DJ63" s="36">
        <f t="shared" si="128"/>
        <v>31132</v>
      </c>
      <c r="DK63" s="36">
        <v>0</v>
      </c>
      <c r="DL63" s="36">
        <v>0</v>
      </c>
      <c r="DM63" s="36">
        <v>3327</v>
      </c>
      <c r="DN63" s="36">
        <v>366</v>
      </c>
      <c r="DO63" s="36">
        <v>0</v>
      </c>
      <c r="DP63" s="36">
        <v>0</v>
      </c>
      <c r="DQ63" s="36">
        <v>6102</v>
      </c>
      <c r="DR63" s="36">
        <v>19608</v>
      </c>
      <c r="DS63" s="36">
        <v>7766</v>
      </c>
      <c r="DT63" s="36">
        <v>3898</v>
      </c>
      <c r="DU63" s="36">
        <v>33</v>
      </c>
      <c r="DV63" s="36">
        <v>0</v>
      </c>
      <c r="DW63" s="36">
        <v>0</v>
      </c>
      <c r="DX63" s="36">
        <v>0</v>
      </c>
      <c r="DY63" s="36">
        <v>0</v>
      </c>
      <c r="DZ63" s="36">
        <v>0</v>
      </c>
      <c r="EA63" s="36">
        <v>4150</v>
      </c>
      <c r="EB63" s="36">
        <v>1515</v>
      </c>
      <c r="EC63" s="36">
        <v>0</v>
      </c>
      <c r="ED63" s="36">
        <v>0</v>
      </c>
      <c r="EE63" s="36">
        <v>5495</v>
      </c>
      <c r="EF63" s="36">
        <v>5745</v>
      </c>
      <c r="EG63" s="36">
        <f t="shared" si="129"/>
        <v>940</v>
      </c>
      <c r="EH63" s="37">
        <f t="shared" si="94"/>
        <v>906</v>
      </c>
      <c r="EI63" s="36">
        <v>0</v>
      </c>
      <c r="EJ63" s="36">
        <v>0</v>
      </c>
      <c r="EK63" s="36">
        <v>0</v>
      </c>
      <c r="EL63" s="36">
        <v>0</v>
      </c>
      <c r="EM63" s="36">
        <v>940</v>
      </c>
      <c r="EN63" s="36">
        <v>906</v>
      </c>
      <c r="EO63" s="36">
        <v>0</v>
      </c>
      <c r="EP63" s="36">
        <v>0</v>
      </c>
      <c r="EQ63" s="36">
        <v>0</v>
      </c>
      <c r="ER63" s="36">
        <v>0</v>
      </c>
      <c r="ES63" s="36">
        <v>0</v>
      </c>
      <c r="ET63" s="36">
        <v>0</v>
      </c>
      <c r="EU63" s="36">
        <v>0</v>
      </c>
      <c r="EV63" s="36">
        <v>0</v>
      </c>
      <c r="EW63" s="36">
        <v>0</v>
      </c>
      <c r="EX63" s="36">
        <v>0</v>
      </c>
      <c r="EY63" s="36">
        <v>0</v>
      </c>
      <c r="EZ63" s="36">
        <v>0</v>
      </c>
      <c r="FA63" s="36">
        <f t="shared" si="130"/>
        <v>628237</v>
      </c>
      <c r="FB63" s="36">
        <f>FD63+GD63</f>
        <v>298317</v>
      </c>
      <c r="FC63" s="36">
        <f t="shared" si="131"/>
        <v>40871</v>
      </c>
      <c r="FD63" s="36">
        <f t="shared" si="131"/>
        <v>277293</v>
      </c>
      <c r="FE63" s="36">
        <v>34035</v>
      </c>
      <c r="FF63" s="36">
        <v>271782</v>
      </c>
      <c r="FG63" s="36">
        <v>0</v>
      </c>
      <c r="FH63" s="36">
        <v>0</v>
      </c>
      <c r="FI63" s="36">
        <v>0</v>
      </c>
      <c r="FJ63" s="36">
        <v>0</v>
      </c>
      <c r="FK63" s="36">
        <v>0</v>
      </c>
      <c r="FL63" s="36">
        <v>0</v>
      </c>
      <c r="FM63" s="36">
        <v>0</v>
      </c>
      <c r="FN63" s="36">
        <v>0</v>
      </c>
      <c r="FO63" s="36">
        <v>0</v>
      </c>
      <c r="FP63" s="36">
        <v>0</v>
      </c>
      <c r="FQ63" s="36">
        <v>831</v>
      </c>
      <c r="FR63" s="36">
        <v>0</v>
      </c>
      <c r="FS63" s="36">
        <v>5921</v>
      </c>
      <c r="FT63" s="36">
        <v>5921</v>
      </c>
      <c r="FU63" s="36">
        <v>0</v>
      </c>
      <c r="FV63" s="36">
        <v>-494</v>
      </c>
      <c r="FW63" s="36">
        <v>0</v>
      </c>
      <c r="FX63" s="36">
        <v>0</v>
      </c>
      <c r="FY63" s="36">
        <v>84</v>
      </c>
      <c r="FZ63" s="36">
        <v>84</v>
      </c>
      <c r="GA63" s="36">
        <v>0</v>
      </c>
      <c r="GB63" s="36">
        <v>0</v>
      </c>
      <c r="GC63" s="36">
        <f t="shared" si="62"/>
        <v>587366</v>
      </c>
      <c r="GD63" s="36">
        <f t="shared" si="63"/>
        <v>21024</v>
      </c>
      <c r="GE63" s="36">
        <v>0</v>
      </c>
      <c r="GF63" s="36">
        <v>0</v>
      </c>
      <c r="GG63" s="36">
        <v>17211</v>
      </c>
      <c r="GH63" s="36">
        <v>20206</v>
      </c>
      <c r="GI63" s="36">
        <v>570155</v>
      </c>
      <c r="GJ63" s="36">
        <v>818</v>
      </c>
      <c r="GK63" s="36">
        <v>0</v>
      </c>
      <c r="GL63" s="36">
        <v>0</v>
      </c>
      <c r="GM63" s="36">
        <v>0</v>
      </c>
      <c r="GN63" s="36">
        <v>0</v>
      </c>
      <c r="GO63" s="36">
        <v>0</v>
      </c>
      <c r="GP63" s="36">
        <v>0</v>
      </c>
      <c r="GQ63" s="36">
        <v>0</v>
      </c>
      <c r="GR63" s="36">
        <v>0</v>
      </c>
      <c r="GS63" s="36">
        <v>0</v>
      </c>
      <c r="GT63" s="36">
        <v>0</v>
      </c>
      <c r="GU63" s="36">
        <v>0</v>
      </c>
      <c r="GV63" s="36">
        <v>0</v>
      </c>
      <c r="GW63" s="67"/>
      <c r="GX63" s="67"/>
      <c r="GY63" s="67"/>
      <c r="GZ63" s="67"/>
      <c r="HA63" s="67"/>
      <c r="HB63" s="31">
        <f t="shared" si="109"/>
        <v>0</v>
      </c>
      <c r="HC63" s="31">
        <f t="shared" si="110"/>
        <v>0</v>
      </c>
    </row>
    <row r="64" spans="1:211" s="14" customFormat="1" ht="17.25" customHeight="1">
      <c r="A64" s="23">
        <v>47</v>
      </c>
      <c r="B64" s="24" t="s">
        <v>232</v>
      </c>
      <c r="C64" s="36">
        <f t="shared" si="135"/>
        <v>135110</v>
      </c>
      <c r="D64" s="36">
        <f t="shared" si="111"/>
        <v>55955</v>
      </c>
      <c r="E64" s="36">
        <f>G64+M64+S64+AG64+AM64</f>
        <v>125704</v>
      </c>
      <c r="F64" s="36">
        <f t="shared" si="136"/>
        <v>48573</v>
      </c>
      <c r="G64" s="36">
        <f>SUM(I64+K64)</f>
        <v>751</v>
      </c>
      <c r="H64" s="36">
        <f t="shared" si="137"/>
        <v>7863</v>
      </c>
      <c r="I64" s="36">
        <v>751</v>
      </c>
      <c r="J64" s="36">
        <v>7863</v>
      </c>
      <c r="K64" s="36"/>
      <c r="L64" s="36"/>
      <c r="M64" s="36">
        <f t="shared" si="138"/>
        <v>0</v>
      </c>
      <c r="N64" s="36">
        <f t="shared" si="138"/>
        <v>0</v>
      </c>
      <c r="O64" s="36"/>
      <c r="P64" s="36"/>
      <c r="Q64" s="36"/>
      <c r="R64" s="36"/>
      <c r="S64" s="36">
        <f t="shared" si="139"/>
        <v>122288</v>
      </c>
      <c r="T64" s="36">
        <f t="shared" si="139"/>
        <v>20113</v>
      </c>
      <c r="U64" s="36">
        <v>10213</v>
      </c>
      <c r="V64" s="36">
        <v>12511</v>
      </c>
      <c r="W64" s="36">
        <v>4004</v>
      </c>
      <c r="X64" s="36">
        <v>2890</v>
      </c>
      <c r="Y64" s="36"/>
      <c r="Z64" s="36"/>
      <c r="AA64" s="36"/>
      <c r="AB64" s="36"/>
      <c r="AC64" s="36">
        <v>108071</v>
      </c>
      <c r="AD64" s="36">
        <v>4712</v>
      </c>
      <c r="AE64" s="36"/>
      <c r="AF64" s="36"/>
      <c r="AG64" s="36">
        <f t="shared" si="140"/>
        <v>2580</v>
      </c>
      <c r="AH64" s="36">
        <f t="shared" si="140"/>
        <v>20224</v>
      </c>
      <c r="AI64" s="36">
        <v>2580</v>
      </c>
      <c r="AJ64" s="36">
        <v>20224</v>
      </c>
      <c r="AK64" s="36"/>
      <c r="AL64" s="36"/>
      <c r="AM64" s="36">
        <f t="shared" si="141"/>
        <v>85</v>
      </c>
      <c r="AN64" s="36">
        <f t="shared" si="141"/>
        <v>373</v>
      </c>
      <c r="AO64" s="36"/>
      <c r="AP64" s="36"/>
      <c r="AQ64" s="36"/>
      <c r="AR64" s="36"/>
      <c r="AS64" s="36"/>
      <c r="AT64" s="36"/>
      <c r="AU64" s="36">
        <v>85</v>
      </c>
      <c r="AV64" s="36">
        <v>373</v>
      </c>
      <c r="AW64" s="36">
        <f t="shared" si="118"/>
        <v>9406</v>
      </c>
      <c r="AX64" s="36">
        <f t="shared" si="118"/>
        <v>7382</v>
      </c>
      <c r="AY64" s="36">
        <f t="shared" si="134"/>
        <v>0</v>
      </c>
      <c r="AZ64" s="36">
        <f t="shared" si="119"/>
        <v>0</v>
      </c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>
        <f t="shared" si="120"/>
        <v>8886</v>
      </c>
      <c r="BL64" s="36">
        <f t="shared" si="120"/>
        <v>7123</v>
      </c>
      <c r="BM64" s="36">
        <f t="shared" si="121"/>
        <v>8886</v>
      </c>
      <c r="BN64" s="36">
        <f t="shared" si="121"/>
        <v>7123</v>
      </c>
      <c r="BO64" s="36">
        <v>19670</v>
      </c>
      <c r="BP64" s="36">
        <v>15956</v>
      </c>
      <c r="BQ64" s="36">
        <v>-10784</v>
      </c>
      <c r="BR64" s="36">
        <v>-8833</v>
      </c>
      <c r="BS64" s="36"/>
      <c r="BT64" s="36"/>
      <c r="BU64" s="36"/>
      <c r="BV64" s="36"/>
      <c r="BW64" s="36"/>
      <c r="BX64" s="36"/>
      <c r="BY64" s="36">
        <f t="shared" si="132"/>
        <v>0</v>
      </c>
      <c r="BZ64" s="36">
        <f t="shared" si="122"/>
        <v>0</v>
      </c>
      <c r="CA64" s="36"/>
      <c r="CB64" s="36"/>
      <c r="CC64" s="37"/>
      <c r="CD64" s="37"/>
      <c r="CE64" s="36"/>
      <c r="CF64" s="36"/>
      <c r="CG64" s="36">
        <f t="shared" si="123"/>
        <v>12</v>
      </c>
      <c r="CH64" s="36">
        <f t="shared" si="123"/>
        <v>16</v>
      </c>
      <c r="CI64" s="36">
        <v>28</v>
      </c>
      <c r="CJ64" s="36">
        <v>29</v>
      </c>
      <c r="CK64" s="36">
        <v>-16</v>
      </c>
      <c r="CL64" s="36">
        <v>-13</v>
      </c>
      <c r="CM64" s="36">
        <f t="shared" si="124"/>
        <v>0</v>
      </c>
      <c r="CN64" s="36">
        <f t="shared" si="124"/>
        <v>0</v>
      </c>
      <c r="CO64" s="36"/>
      <c r="CP64" s="36"/>
      <c r="CQ64" s="36"/>
      <c r="CR64" s="36"/>
      <c r="CS64" s="36"/>
      <c r="CT64" s="36"/>
      <c r="CU64" s="36"/>
      <c r="CV64" s="36"/>
      <c r="CW64" s="36">
        <f t="shared" si="125"/>
        <v>508</v>
      </c>
      <c r="CX64" s="36">
        <f t="shared" si="125"/>
        <v>243</v>
      </c>
      <c r="CY64" s="36">
        <v>330</v>
      </c>
      <c r="CZ64" s="36">
        <v>65</v>
      </c>
      <c r="DA64" s="36"/>
      <c r="DB64" s="36"/>
      <c r="DC64" s="36">
        <v>178</v>
      </c>
      <c r="DD64" s="36">
        <v>178</v>
      </c>
      <c r="DE64" s="36">
        <f t="shared" si="142"/>
        <v>135110</v>
      </c>
      <c r="DF64" s="36">
        <f t="shared" si="126"/>
        <v>55955</v>
      </c>
      <c r="DG64" s="36">
        <f t="shared" si="127"/>
        <v>114582</v>
      </c>
      <c r="DH64" s="36">
        <f t="shared" si="127"/>
        <v>39106</v>
      </c>
      <c r="DI64" s="36">
        <f>DK64+DM64+DO64+DQ64+DS64+DU64+DW64+DY64+EA64+EC64+EE64</f>
        <v>114582</v>
      </c>
      <c r="DJ64" s="36">
        <f>DL64+DN64+DP64+DR64+DT64+DV64+DX64+DZ64+EB64+ED64+EF64</f>
        <v>38856</v>
      </c>
      <c r="DK64" s="36">
        <v>5733</v>
      </c>
      <c r="DL64" s="36">
        <v>8533</v>
      </c>
      <c r="DM64" s="36">
        <v>5741</v>
      </c>
      <c r="DN64" s="36">
        <v>10128</v>
      </c>
      <c r="DO64" s="36">
        <v>602</v>
      </c>
      <c r="DP64" s="36">
        <v>16273</v>
      </c>
      <c r="DQ64" s="36">
        <v>2034</v>
      </c>
      <c r="DR64" s="36">
        <v>2616</v>
      </c>
      <c r="DS64" s="36">
        <v>1259</v>
      </c>
      <c r="DT64" s="36">
        <v>353</v>
      </c>
      <c r="DU64" s="36"/>
      <c r="DV64" s="36"/>
      <c r="DW64" s="36"/>
      <c r="DX64" s="36"/>
      <c r="DY64" s="36"/>
      <c r="DZ64" s="36"/>
      <c r="EA64" s="36">
        <v>99213</v>
      </c>
      <c r="EB64" s="36">
        <v>953</v>
      </c>
      <c r="EC64" s="36"/>
      <c r="ED64" s="36"/>
      <c r="EE64" s="36"/>
      <c r="EF64" s="36"/>
      <c r="EG64" s="36">
        <f t="shared" si="129"/>
        <v>0</v>
      </c>
      <c r="EH64" s="37">
        <f t="shared" si="94"/>
        <v>250</v>
      </c>
      <c r="EI64" s="36"/>
      <c r="EJ64" s="36"/>
      <c r="EK64" s="36"/>
      <c r="EL64" s="36"/>
      <c r="EM64" s="36"/>
      <c r="EN64" s="36"/>
      <c r="EO64" s="36">
        <v>0</v>
      </c>
      <c r="EP64" s="36">
        <v>250</v>
      </c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>
        <f t="shared" si="130"/>
        <v>20528</v>
      </c>
      <c r="FB64" s="36">
        <f t="shared" si="130"/>
        <v>16849</v>
      </c>
      <c r="FC64" s="36">
        <f t="shared" si="131"/>
        <v>20515</v>
      </c>
      <c r="FD64" s="36">
        <f t="shared" si="131"/>
        <v>16833</v>
      </c>
      <c r="FE64" s="36">
        <v>7527</v>
      </c>
      <c r="FF64" s="36">
        <v>7527</v>
      </c>
      <c r="FG64" s="36">
        <v>407</v>
      </c>
      <c r="FH64" s="36">
        <v>407</v>
      </c>
      <c r="FI64" s="36">
        <v>272</v>
      </c>
      <c r="FJ64" s="36">
        <v>272</v>
      </c>
      <c r="FK64" s="36">
        <v>12309</v>
      </c>
      <c r="FL64" s="36">
        <v>8627</v>
      </c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>
        <f t="shared" si="62"/>
        <v>13</v>
      </c>
      <c r="GD64" s="36">
        <f t="shared" si="63"/>
        <v>16</v>
      </c>
      <c r="GE64" s="36"/>
      <c r="GF64" s="36"/>
      <c r="GG64" s="36"/>
      <c r="GH64" s="36"/>
      <c r="GI64" s="36">
        <v>13</v>
      </c>
      <c r="GJ64" s="36">
        <v>16</v>
      </c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68"/>
      <c r="GX64" s="68"/>
      <c r="GY64" s="68"/>
      <c r="GZ64" s="68"/>
      <c r="HA64" s="68"/>
      <c r="HB64" s="31">
        <f t="shared" si="109"/>
        <v>0</v>
      </c>
      <c r="HC64" s="31">
        <f t="shared" si="110"/>
        <v>0</v>
      </c>
    </row>
    <row r="65" spans="1:211" s="13" customFormat="1" ht="17.25" customHeight="1">
      <c r="A65" s="23">
        <v>48</v>
      </c>
      <c r="B65" s="24" t="s">
        <v>233</v>
      </c>
      <c r="C65" s="36">
        <f t="shared" si="135"/>
        <v>128312</v>
      </c>
      <c r="D65" s="36">
        <f t="shared" si="111"/>
        <v>133452</v>
      </c>
      <c r="E65" s="36">
        <f t="shared" si="136"/>
        <v>46793</v>
      </c>
      <c r="F65" s="36">
        <f t="shared" si="136"/>
        <v>53035</v>
      </c>
      <c r="G65" s="36">
        <f>SUM(I65+K65)</f>
        <v>7165</v>
      </c>
      <c r="H65" s="36">
        <f t="shared" si="137"/>
        <v>11362</v>
      </c>
      <c r="I65" s="36">
        <v>7165</v>
      </c>
      <c r="J65" s="36">
        <v>11362</v>
      </c>
      <c r="K65" s="36">
        <v>0</v>
      </c>
      <c r="L65" s="36">
        <v>0</v>
      </c>
      <c r="M65" s="36">
        <f t="shared" si="138"/>
        <v>0</v>
      </c>
      <c r="N65" s="36">
        <f t="shared" si="138"/>
        <v>0</v>
      </c>
      <c r="O65" s="36">
        <v>0</v>
      </c>
      <c r="P65" s="36">
        <v>0</v>
      </c>
      <c r="Q65" s="36">
        <v>0</v>
      </c>
      <c r="R65" s="36">
        <v>0</v>
      </c>
      <c r="S65" s="36">
        <f t="shared" si="139"/>
        <v>22507</v>
      </c>
      <c r="T65" s="36">
        <f t="shared" si="139"/>
        <v>28042</v>
      </c>
      <c r="U65" s="36">
        <v>18211</v>
      </c>
      <c r="V65" s="36">
        <v>20327</v>
      </c>
      <c r="W65" s="36">
        <v>709</v>
      </c>
      <c r="X65" s="36">
        <v>3955</v>
      </c>
      <c r="Y65" s="36">
        <v>0</v>
      </c>
      <c r="Z65" s="36">
        <v>0</v>
      </c>
      <c r="AA65" s="36">
        <v>0</v>
      </c>
      <c r="AB65" s="36">
        <v>0</v>
      </c>
      <c r="AC65" s="36">
        <v>4569</v>
      </c>
      <c r="AD65" s="36">
        <v>4605</v>
      </c>
      <c r="AE65" s="36">
        <v>-982</v>
      </c>
      <c r="AF65" s="36">
        <v>-845</v>
      </c>
      <c r="AG65" s="36">
        <f t="shared" si="140"/>
        <v>16994</v>
      </c>
      <c r="AH65" s="36">
        <f t="shared" si="140"/>
        <v>11512</v>
      </c>
      <c r="AI65" s="36">
        <v>16994</v>
      </c>
      <c r="AJ65" s="36">
        <v>11512</v>
      </c>
      <c r="AK65" s="36">
        <v>0</v>
      </c>
      <c r="AL65" s="36">
        <v>0</v>
      </c>
      <c r="AM65" s="36">
        <f t="shared" si="141"/>
        <v>127</v>
      </c>
      <c r="AN65" s="36">
        <f t="shared" si="141"/>
        <v>2119</v>
      </c>
      <c r="AO65" s="36">
        <v>42</v>
      </c>
      <c r="AP65" s="36">
        <v>70</v>
      </c>
      <c r="AQ65" s="36">
        <v>0</v>
      </c>
      <c r="AR65" s="36">
        <v>0</v>
      </c>
      <c r="AS65" s="36">
        <v>0</v>
      </c>
      <c r="AT65" s="36">
        <v>252</v>
      </c>
      <c r="AU65" s="36">
        <v>85</v>
      </c>
      <c r="AV65" s="36">
        <v>1797</v>
      </c>
      <c r="AW65" s="36">
        <f t="shared" si="118"/>
        <v>81519</v>
      </c>
      <c r="AX65" s="36">
        <f t="shared" si="118"/>
        <v>80417</v>
      </c>
      <c r="AY65" s="36">
        <f t="shared" si="134"/>
        <v>0</v>
      </c>
      <c r="AZ65" s="36">
        <f t="shared" si="119"/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f t="shared" si="120"/>
        <v>7405</v>
      </c>
      <c r="BL65" s="36">
        <f t="shared" si="120"/>
        <v>1801</v>
      </c>
      <c r="BM65" s="36">
        <f t="shared" si="121"/>
        <v>7405</v>
      </c>
      <c r="BN65" s="36">
        <f t="shared" si="121"/>
        <v>1800</v>
      </c>
      <c r="BO65" s="36">
        <v>13492</v>
      </c>
      <c r="BP65" s="36">
        <v>7526</v>
      </c>
      <c r="BQ65" s="36">
        <v>-6087</v>
      </c>
      <c r="BR65" s="36">
        <v>-5726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f t="shared" si="132"/>
        <v>0</v>
      </c>
      <c r="BZ65" s="36">
        <f t="shared" si="122"/>
        <v>1</v>
      </c>
      <c r="CA65" s="36">
        <v>35</v>
      </c>
      <c r="CB65" s="36">
        <v>45</v>
      </c>
      <c r="CC65" s="37">
        <v>-35</v>
      </c>
      <c r="CD65" s="37">
        <v>-44</v>
      </c>
      <c r="CE65" s="36">
        <v>0</v>
      </c>
      <c r="CF65" s="36">
        <v>0</v>
      </c>
      <c r="CG65" s="36">
        <f t="shared" si="123"/>
        <v>73880</v>
      </c>
      <c r="CH65" s="36">
        <f t="shared" si="123"/>
        <v>78319</v>
      </c>
      <c r="CI65" s="36">
        <v>76730</v>
      </c>
      <c r="CJ65" s="36">
        <v>81350</v>
      </c>
      <c r="CK65" s="36">
        <v>-2850</v>
      </c>
      <c r="CL65" s="36">
        <v>-3031</v>
      </c>
      <c r="CM65" s="36">
        <f t="shared" si="124"/>
        <v>0</v>
      </c>
      <c r="CN65" s="36">
        <f t="shared" si="124"/>
        <v>0</v>
      </c>
      <c r="CO65" s="36">
        <v>0</v>
      </c>
      <c r="CP65" s="36">
        <v>0</v>
      </c>
      <c r="CQ65" s="36">
        <v>0</v>
      </c>
      <c r="CR65" s="36">
        <v>0</v>
      </c>
      <c r="CS65" s="36">
        <v>0</v>
      </c>
      <c r="CT65" s="36">
        <v>0</v>
      </c>
      <c r="CU65" s="36">
        <v>0</v>
      </c>
      <c r="CV65" s="36">
        <v>0</v>
      </c>
      <c r="CW65" s="36">
        <f t="shared" si="125"/>
        <v>234</v>
      </c>
      <c r="CX65" s="36">
        <f t="shared" si="125"/>
        <v>297</v>
      </c>
      <c r="CY65" s="36">
        <v>234</v>
      </c>
      <c r="CZ65" s="36">
        <v>297</v>
      </c>
      <c r="DA65" s="36">
        <v>0</v>
      </c>
      <c r="DB65" s="36">
        <v>0</v>
      </c>
      <c r="DC65" s="36">
        <v>0</v>
      </c>
      <c r="DD65" s="36">
        <v>0</v>
      </c>
      <c r="DE65" s="36">
        <f t="shared" si="142"/>
        <v>128312</v>
      </c>
      <c r="DF65" s="36">
        <f t="shared" si="126"/>
        <v>133452</v>
      </c>
      <c r="DG65" s="36">
        <f t="shared" si="127"/>
        <v>48472</v>
      </c>
      <c r="DH65" s="36">
        <f t="shared" si="127"/>
        <v>52418</v>
      </c>
      <c r="DI65" s="36">
        <f t="shared" si="128"/>
        <v>42843</v>
      </c>
      <c r="DJ65" s="36">
        <f t="shared" si="128"/>
        <v>46661</v>
      </c>
      <c r="DK65" s="36">
        <v>0</v>
      </c>
      <c r="DL65" s="36">
        <v>0</v>
      </c>
      <c r="DM65" s="36">
        <v>2562</v>
      </c>
      <c r="DN65" s="36">
        <v>2144</v>
      </c>
      <c r="DO65" s="36">
        <v>1549</v>
      </c>
      <c r="DP65" s="36">
        <v>4535</v>
      </c>
      <c r="DQ65" s="36">
        <v>2647</v>
      </c>
      <c r="DR65" s="36">
        <v>3688</v>
      </c>
      <c r="DS65" s="36">
        <v>13165</v>
      </c>
      <c r="DT65" s="36">
        <v>13397</v>
      </c>
      <c r="DU65" s="36">
        <v>1013</v>
      </c>
      <c r="DV65" s="36">
        <v>701</v>
      </c>
      <c r="DW65" s="36">
        <v>0</v>
      </c>
      <c r="DX65" s="36">
        <v>0</v>
      </c>
      <c r="DY65" s="36">
        <v>0</v>
      </c>
      <c r="DZ65" s="36">
        <v>0</v>
      </c>
      <c r="EA65" s="36">
        <v>18292</v>
      </c>
      <c r="EB65" s="36">
        <v>16805</v>
      </c>
      <c r="EC65" s="36">
        <v>0</v>
      </c>
      <c r="ED65" s="36">
        <v>0</v>
      </c>
      <c r="EE65" s="36">
        <v>3615</v>
      </c>
      <c r="EF65" s="36">
        <v>5391</v>
      </c>
      <c r="EG65" s="36">
        <f t="shared" si="129"/>
        <v>5629</v>
      </c>
      <c r="EH65" s="37">
        <f t="shared" si="94"/>
        <v>5757</v>
      </c>
      <c r="EI65" s="36">
        <v>0</v>
      </c>
      <c r="EJ65" s="36">
        <v>0</v>
      </c>
      <c r="EK65" s="36">
        <v>0</v>
      </c>
      <c r="EL65" s="36">
        <v>0</v>
      </c>
      <c r="EM65" s="36">
        <v>484</v>
      </c>
      <c r="EN65" s="36">
        <v>374</v>
      </c>
      <c r="EO65" s="36">
        <v>2000</v>
      </c>
      <c r="EP65" s="36">
        <v>2507</v>
      </c>
      <c r="EQ65" s="36">
        <v>0</v>
      </c>
      <c r="ER65" s="36">
        <v>0</v>
      </c>
      <c r="ES65" s="36">
        <v>0</v>
      </c>
      <c r="ET65" s="36">
        <v>0</v>
      </c>
      <c r="EU65" s="36">
        <v>0</v>
      </c>
      <c r="EV65" s="36">
        <v>0</v>
      </c>
      <c r="EW65" s="36">
        <v>3145</v>
      </c>
      <c r="EX65" s="36">
        <v>2876</v>
      </c>
      <c r="EY65" s="36">
        <v>0</v>
      </c>
      <c r="EZ65" s="36">
        <v>0</v>
      </c>
      <c r="FA65" s="36">
        <f t="shared" si="130"/>
        <v>79840</v>
      </c>
      <c r="FB65" s="36">
        <f t="shared" si="130"/>
        <v>81034</v>
      </c>
      <c r="FC65" s="36">
        <f t="shared" si="131"/>
        <v>34264</v>
      </c>
      <c r="FD65" s="36">
        <f t="shared" si="131"/>
        <v>32271</v>
      </c>
      <c r="FE65" s="36">
        <v>12818</v>
      </c>
      <c r="FF65" s="36">
        <v>12818</v>
      </c>
      <c r="FG65" s="36">
        <v>0</v>
      </c>
      <c r="FH65" s="36">
        <v>0</v>
      </c>
      <c r="FI65" s="36">
        <v>17715</v>
      </c>
      <c r="FJ65" s="36">
        <v>18926</v>
      </c>
      <c r="FK65" s="36">
        <v>0</v>
      </c>
      <c r="FL65" s="36">
        <v>0</v>
      </c>
      <c r="FM65" s="36">
        <v>0</v>
      </c>
      <c r="FN65" s="36">
        <v>0</v>
      </c>
      <c r="FO65" s="36">
        <v>0</v>
      </c>
      <c r="FP65" s="36">
        <v>0</v>
      </c>
      <c r="FQ65" s="36">
        <v>0</v>
      </c>
      <c r="FR65" s="36">
        <v>0</v>
      </c>
      <c r="FS65" s="36">
        <v>818</v>
      </c>
      <c r="FT65" s="36">
        <v>818</v>
      </c>
      <c r="FU65" s="36">
        <v>0</v>
      </c>
      <c r="FV65" s="36">
        <v>0</v>
      </c>
      <c r="FW65" s="36">
        <v>2913</v>
      </c>
      <c r="FX65" s="36">
        <v>-291</v>
      </c>
      <c r="FY65" s="36">
        <v>0</v>
      </c>
      <c r="FZ65" s="36">
        <v>0</v>
      </c>
      <c r="GA65" s="36">
        <v>0</v>
      </c>
      <c r="GB65" s="36">
        <v>0</v>
      </c>
      <c r="GC65" s="36">
        <f t="shared" si="62"/>
        <v>45576</v>
      </c>
      <c r="GD65" s="36">
        <f t="shared" si="63"/>
        <v>48763</v>
      </c>
      <c r="GE65" s="36"/>
      <c r="GF65" s="36"/>
      <c r="GG65" s="36">
        <v>45576</v>
      </c>
      <c r="GH65" s="36">
        <v>48763</v>
      </c>
      <c r="GI65" s="36">
        <v>0</v>
      </c>
      <c r="GJ65" s="36">
        <v>0</v>
      </c>
      <c r="GK65" s="36">
        <v>0</v>
      </c>
      <c r="GL65" s="36">
        <v>0</v>
      </c>
      <c r="GM65" s="36">
        <v>0</v>
      </c>
      <c r="GN65" s="36">
        <v>0</v>
      </c>
      <c r="GO65" s="36">
        <v>0</v>
      </c>
      <c r="GP65" s="36">
        <v>0</v>
      </c>
      <c r="GQ65" s="36">
        <v>0</v>
      </c>
      <c r="GR65" s="36">
        <v>0</v>
      </c>
      <c r="GS65" s="36">
        <v>0</v>
      </c>
      <c r="GT65" s="36">
        <v>0</v>
      </c>
      <c r="GU65" s="36">
        <v>0</v>
      </c>
      <c r="GV65" s="36"/>
      <c r="GW65" s="67"/>
      <c r="GX65" s="67"/>
      <c r="GY65" s="67"/>
      <c r="GZ65" s="67"/>
      <c r="HA65" s="67"/>
      <c r="HB65" s="31">
        <f t="shared" si="109"/>
        <v>0</v>
      </c>
      <c r="HC65" s="31">
        <f t="shared" si="110"/>
        <v>0</v>
      </c>
    </row>
    <row r="66" spans="1:211" s="14" customFormat="1" ht="17.25" customHeight="1">
      <c r="A66" s="23">
        <v>49</v>
      </c>
      <c r="B66" s="24" t="s">
        <v>234</v>
      </c>
      <c r="C66" s="36">
        <f>E66+AW66</f>
        <v>122077</v>
      </c>
      <c r="D66" s="36">
        <f t="shared" si="111"/>
        <v>190972</v>
      </c>
      <c r="E66" s="36">
        <f t="shared" si="136"/>
        <v>89658</v>
      </c>
      <c r="F66" s="36">
        <f t="shared" si="136"/>
        <v>154391</v>
      </c>
      <c r="G66" s="36">
        <f>SUM(I66+K66)</f>
        <v>63023</v>
      </c>
      <c r="H66" s="36">
        <f t="shared" si="137"/>
        <v>79466</v>
      </c>
      <c r="I66" s="36">
        <v>56574</v>
      </c>
      <c r="J66" s="36">
        <v>73466</v>
      </c>
      <c r="K66" s="36">
        <v>6449</v>
      </c>
      <c r="L66" s="36">
        <v>6000</v>
      </c>
      <c r="M66" s="36">
        <f t="shared" si="138"/>
        <v>0</v>
      </c>
      <c r="N66" s="36">
        <f t="shared" si="138"/>
        <v>0</v>
      </c>
      <c r="O66" s="36"/>
      <c r="P66" s="36"/>
      <c r="Q66" s="36"/>
      <c r="R66" s="36"/>
      <c r="S66" s="36">
        <f t="shared" si="139"/>
        <v>10870</v>
      </c>
      <c r="T66" s="36">
        <f t="shared" si="139"/>
        <v>39879</v>
      </c>
      <c r="U66" s="36">
        <v>6881</v>
      </c>
      <c r="V66" s="36">
        <v>11669</v>
      </c>
      <c r="W66" s="36">
        <v>2403</v>
      </c>
      <c r="X66" s="36">
        <v>27330</v>
      </c>
      <c r="Y66" s="36"/>
      <c r="Z66" s="36"/>
      <c r="AA66" s="36"/>
      <c r="AB66" s="36"/>
      <c r="AC66" s="36">
        <v>1586</v>
      </c>
      <c r="AD66" s="36">
        <v>880</v>
      </c>
      <c r="AE66" s="36"/>
      <c r="AF66" s="36"/>
      <c r="AG66" s="36">
        <f t="shared" si="140"/>
        <v>15112</v>
      </c>
      <c r="AH66" s="36">
        <f t="shared" si="140"/>
        <v>33251</v>
      </c>
      <c r="AI66" s="36">
        <v>15112</v>
      </c>
      <c r="AJ66" s="36">
        <v>33251</v>
      </c>
      <c r="AK66" s="36"/>
      <c r="AL66" s="36"/>
      <c r="AM66" s="36">
        <f t="shared" si="141"/>
        <v>653</v>
      </c>
      <c r="AN66" s="36">
        <f t="shared" si="141"/>
        <v>1795</v>
      </c>
      <c r="AO66" s="36"/>
      <c r="AP66" s="36"/>
      <c r="AQ66" s="36"/>
      <c r="AR66" s="36"/>
      <c r="AS66" s="36"/>
      <c r="AT66" s="36">
        <v>894</v>
      </c>
      <c r="AU66" s="36">
        <v>653</v>
      </c>
      <c r="AV66" s="36">
        <v>901</v>
      </c>
      <c r="AW66" s="36">
        <f t="shared" si="118"/>
        <v>32419</v>
      </c>
      <c r="AX66" s="36">
        <f t="shared" si="118"/>
        <v>36581</v>
      </c>
      <c r="AY66" s="36">
        <f t="shared" si="134"/>
        <v>2064</v>
      </c>
      <c r="AZ66" s="36">
        <f t="shared" si="119"/>
        <v>4940</v>
      </c>
      <c r="BA66" s="36">
        <v>2064</v>
      </c>
      <c r="BB66" s="36">
        <v>4940</v>
      </c>
      <c r="BC66" s="36"/>
      <c r="BD66" s="36"/>
      <c r="BE66" s="36"/>
      <c r="BF66" s="36"/>
      <c r="BG66" s="36"/>
      <c r="BH66" s="36"/>
      <c r="BI66" s="36"/>
      <c r="BJ66" s="36"/>
      <c r="BK66" s="36">
        <f t="shared" si="120"/>
        <v>6000</v>
      </c>
      <c r="BL66" s="36">
        <f t="shared" si="120"/>
        <v>3676</v>
      </c>
      <c r="BM66" s="36">
        <f t="shared" si="121"/>
        <v>6000</v>
      </c>
      <c r="BN66" s="36">
        <f t="shared" si="121"/>
        <v>3676</v>
      </c>
      <c r="BO66" s="36">
        <v>15516</v>
      </c>
      <c r="BP66" s="36">
        <v>11250</v>
      </c>
      <c r="BQ66" s="36">
        <v>-9516</v>
      </c>
      <c r="BR66" s="36">
        <v>-7574</v>
      </c>
      <c r="BS66" s="36"/>
      <c r="BT66" s="36"/>
      <c r="BU66" s="36"/>
      <c r="BV66" s="36"/>
      <c r="BW66" s="36"/>
      <c r="BX66" s="36"/>
      <c r="BY66" s="36">
        <f t="shared" si="132"/>
        <v>0</v>
      </c>
      <c r="BZ66" s="36">
        <f t="shared" si="122"/>
        <v>0</v>
      </c>
      <c r="CA66" s="36"/>
      <c r="CB66" s="36"/>
      <c r="CC66" s="37"/>
      <c r="CD66" s="37"/>
      <c r="CE66" s="36"/>
      <c r="CF66" s="36"/>
      <c r="CG66" s="36">
        <f t="shared" si="123"/>
        <v>23395</v>
      </c>
      <c r="CH66" s="36">
        <f t="shared" si="123"/>
        <v>27965</v>
      </c>
      <c r="CI66" s="36">
        <v>35880</v>
      </c>
      <c r="CJ66" s="36">
        <v>40895</v>
      </c>
      <c r="CK66" s="36">
        <v>-12485</v>
      </c>
      <c r="CL66" s="36">
        <v>-12930</v>
      </c>
      <c r="CM66" s="36">
        <f t="shared" si="124"/>
        <v>0</v>
      </c>
      <c r="CN66" s="36">
        <f t="shared" si="124"/>
        <v>0</v>
      </c>
      <c r="CO66" s="36"/>
      <c r="CP66" s="36"/>
      <c r="CQ66" s="36"/>
      <c r="CR66" s="36"/>
      <c r="CS66" s="36"/>
      <c r="CT66" s="36"/>
      <c r="CU66" s="36"/>
      <c r="CV66" s="36"/>
      <c r="CW66" s="36">
        <f t="shared" si="125"/>
        <v>960</v>
      </c>
      <c r="CX66" s="36">
        <f t="shared" si="125"/>
        <v>0</v>
      </c>
      <c r="CY66" s="36">
        <v>960</v>
      </c>
      <c r="CZ66" s="36"/>
      <c r="DA66" s="36"/>
      <c r="DB66" s="36"/>
      <c r="DC66" s="36"/>
      <c r="DD66" s="36"/>
      <c r="DE66" s="36">
        <f t="shared" si="142"/>
        <v>122077</v>
      </c>
      <c r="DF66" s="36">
        <f t="shared" si="126"/>
        <v>190972</v>
      </c>
      <c r="DG66" s="36">
        <f t="shared" si="127"/>
        <v>58912</v>
      </c>
      <c r="DH66" s="36">
        <f t="shared" si="127"/>
        <v>109646</v>
      </c>
      <c r="DI66" s="36">
        <f t="shared" si="128"/>
        <v>54285</v>
      </c>
      <c r="DJ66" s="36">
        <f t="shared" si="128"/>
        <v>109621</v>
      </c>
      <c r="DK66" s="36"/>
      <c r="DL66" s="36">
        <v>510</v>
      </c>
      <c r="DM66" s="36">
        <v>10286</v>
      </c>
      <c r="DN66" s="36">
        <v>24459</v>
      </c>
      <c r="DO66" s="36">
        <v>1269</v>
      </c>
      <c r="DP66" s="36">
        <v>17532</v>
      </c>
      <c r="DQ66" s="36">
        <v>3409</v>
      </c>
      <c r="DR66" s="36">
        <v>8162</v>
      </c>
      <c r="DS66" s="36">
        <v>13162</v>
      </c>
      <c r="DT66" s="36">
        <v>11885</v>
      </c>
      <c r="DU66" s="36"/>
      <c r="DV66" s="36">
        <v>1152</v>
      </c>
      <c r="DW66" s="36"/>
      <c r="DX66" s="36"/>
      <c r="DY66" s="36"/>
      <c r="DZ66" s="36"/>
      <c r="EA66" s="36">
        <v>25680</v>
      </c>
      <c r="EB66" s="36">
        <v>38221</v>
      </c>
      <c r="EC66" s="36"/>
      <c r="ED66" s="36"/>
      <c r="EE66" s="36">
        <v>479</v>
      </c>
      <c r="EF66" s="36">
        <v>7700</v>
      </c>
      <c r="EG66" s="36">
        <f t="shared" si="129"/>
        <v>4627</v>
      </c>
      <c r="EH66" s="37">
        <f t="shared" si="94"/>
        <v>25</v>
      </c>
      <c r="EI66" s="36"/>
      <c r="EJ66" s="36"/>
      <c r="EK66" s="36"/>
      <c r="EL66" s="36"/>
      <c r="EM66" s="36">
        <v>25</v>
      </c>
      <c r="EN66" s="36">
        <v>25</v>
      </c>
      <c r="EO66" s="36">
        <v>4462</v>
      </c>
      <c r="EP66" s="36"/>
      <c r="EQ66" s="36">
        <v>0</v>
      </c>
      <c r="ER66" s="36"/>
      <c r="ES66" s="36"/>
      <c r="ET66" s="36"/>
      <c r="EU66" s="36"/>
      <c r="EV66" s="36"/>
      <c r="EW66" s="36"/>
      <c r="EX66" s="36"/>
      <c r="EY66" s="36">
        <v>140</v>
      </c>
      <c r="EZ66" s="36"/>
      <c r="FA66" s="36">
        <f t="shared" si="130"/>
        <v>63165</v>
      </c>
      <c r="FB66" s="36">
        <f t="shared" si="130"/>
        <v>81326</v>
      </c>
      <c r="FC66" s="36">
        <f t="shared" si="131"/>
        <v>53977</v>
      </c>
      <c r="FD66" s="36">
        <f t="shared" si="131"/>
        <v>45006</v>
      </c>
      <c r="FE66" s="36">
        <v>42262</v>
      </c>
      <c r="FF66" s="36">
        <v>42980</v>
      </c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>
        <v>2026</v>
      </c>
      <c r="FT66" s="36">
        <v>2026</v>
      </c>
      <c r="FU66" s="36"/>
      <c r="FV66" s="36"/>
      <c r="FW66" s="36">
        <v>9689</v>
      </c>
      <c r="FX66" s="36"/>
      <c r="FY66" s="36"/>
      <c r="FZ66" s="36"/>
      <c r="GA66" s="36"/>
      <c r="GB66" s="36"/>
      <c r="GC66" s="36">
        <f t="shared" si="62"/>
        <v>9188</v>
      </c>
      <c r="GD66" s="36">
        <f t="shared" si="63"/>
        <v>36320</v>
      </c>
      <c r="GE66" s="36"/>
      <c r="GF66" s="36"/>
      <c r="GG66" s="36"/>
      <c r="GH66" s="36"/>
      <c r="GI66" s="36">
        <v>9188</v>
      </c>
      <c r="GJ66" s="36">
        <v>36320</v>
      </c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68"/>
      <c r="GX66" s="68"/>
      <c r="GY66" s="68"/>
      <c r="GZ66" s="68"/>
      <c r="HA66" s="68"/>
      <c r="HB66" s="31">
        <f t="shared" si="109"/>
        <v>0</v>
      </c>
      <c r="HC66" s="31">
        <f t="shared" si="110"/>
        <v>0</v>
      </c>
    </row>
    <row r="67" spans="1:211" s="13" customFormat="1" ht="17.25" customHeight="1">
      <c r="A67" s="23">
        <v>50</v>
      </c>
      <c r="B67" s="24" t="s">
        <v>235</v>
      </c>
      <c r="C67" s="36">
        <f t="shared" si="135"/>
        <v>877018</v>
      </c>
      <c r="D67" s="36">
        <f t="shared" si="111"/>
        <v>842344</v>
      </c>
      <c r="E67" s="36">
        <f t="shared" si="136"/>
        <v>832084</v>
      </c>
      <c r="F67" s="36">
        <f t="shared" si="136"/>
        <v>801816</v>
      </c>
      <c r="G67" s="36">
        <f t="shared" si="137"/>
        <v>17502</v>
      </c>
      <c r="H67" s="36">
        <f t="shared" si="137"/>
        <v>17985</v>
      </c>
      <c r="I67" s="36">
        <v>15586</v>
      </c>
      <c r="J67" s="36">
        <v>17985</v>
      </c>
      <c r="K67" s="36">
        <v>1916</v>
      </c>
      <c r="L67" s="36">
        <v>0</v>
      </c>
      <c r="M67" s="36">
        <f t="shared" si="138"/>
        <v>0</v>
      </c>
      <c r="N67" s="36">
        <f t="shared" si="138"/>
        <v>0</v>
      </c>
      <c r="O67" s="36">
        <v>0</v>
      </c>
      <c r="P67" s="36">
        <v>0</v>
      </c>
      <c r="Q67" s="36">
        <v>0</v>
      </c>
      <c r="R67" s="36">
        <v>0</v>
      </c>
      <c r="S67" s="36">
        <f t="shared" si="139"/>
        <v>22223</v>
      </c>
      <c r="T67" s="36">
        <f t="shared" si="139"/>
        <v>21498</v>
      </c>
      <c r="U67" s="36">
        <v>9029</v>
      </c>
      <c r="V67" s="36">
        <v>7605</v>
      </c>
      <c r="W67" s="36">
        <v>7373</v>
      </c>
      <c r="X67" s="36">
        <v>6592</v>
      </c>
      <c r="Y67" s="36">
        <v>0</v>
      </c>
      <c r="Z67" s="36">
        <v>0</v>
      </c>
      <c r="AA67" s="36">
        <v>0</v>
      </c>
      <c r="AB67" s="36">
        <v>0</v>
      </c>
      <c r="AC67" s="36">
        <v>5821</v>
      </c>
      <c r="AD67" s="36">
        <v>7301</v>
      </c>
      <c r="AE67" s="36">
        <v>0</v>
      </c>
      <c r="AF67" s="36">
        <v>0</v>
      </c>
      <c r="AG67" s="36">
        <f t="shared" si="140"/>
        <v>770436</v>
      </c>
      <c r="AH67" s="36">
        <f t="shared" si="140"/>
        <v>736910</v>
      </c>
      <c r="AI67" s="36">
        <v>770436</v>
      </c>
      <c r="AJ67" s="36">
        <v>736910</v>
      </c>
      <c r="AK67" s="36">
        <v>0</v>
      </c>
      <c r="AL67" s="36">
        <v>0</v>
      </c>
      <c r="AM67" s="36">
        <f t="shared" si="141"/>
        <v>21923</v>
      </c>
      <c r="AN67" s="36">
        <f t="shared" si="141"/>
        <v>25423</v>
      </c>
      <c r="AO67" s="36">
        <v>0</v>
      </c>
      <c r="AP67" s="36">
        <v>272</v>
      </c>
      <c r="AQ67" s="36">
        <v>5091</v>
      </c>
      <c r="AR67" s="36">
        <v>10112</v>
      </c>
      <c r="AS67" s="36">
        <v>0</v>
      </c>
      <c r="AT67" s="36">
        <v>0</v>
      </c>
      <c r="AU67" s="36">
        <v>16832</v>
      </c>
      <c r="AV67" s="36">
        <v>15039</v>
      </c>
      <c r="AW67" s="36">
        <f t="shared" si="118"/>
        <v>44934</v>
      </c>
      <c r="AX67" s="36">
        <f t="shared" si="118"/>
        <v>40528</v>
      </c>
      <c r="AY67" s="36">
        <f t="shared" si="134"/>
        <v>0</v>
      </c>
      <c r="AZ67" s="36">
        <f t="shared" si="119"/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  <c r="BJ67" s="36">
        <v>0</v>
      </c>
      <c r="BK67" s="36">
        <f t="shared" si="120"/>
        <v>31090</v>
      </c>
      <c r="BL67" s="36">
        <f t="shared" si="120"/>
        <v>27576</v>
      </c>
      <c r="BM67" s="36">
        <f t="shared" si="121"/>
        <v>28294</v>
      </c>
      <c r="BN67" s="36">
        <f t="shared" si="121"/>
        <v>24421</v>
      </c>
      <c r="BO67" s="36">
        <v>36692</v>
      </c>
      <c r="BP67" s="36">
        <v>30838</v>
      </c>
      <c r="BQ67" s="36">
        <v>-8398</v>
      </c>
      <c r="BR67" s="36">
        <v>-6417</v>
      </c>
      <c r="BS67" s="36">
        <v>0</v>
      </c>
      <c r="BT67" s="36">
        <v>0</v>
      </c>
      <c r="BU67" s="36">
        <v>0</v>
      </c>
      <c r="BV67" s="36"/>
      <c r="BW67" s="36">
        <v>0</v>
      </c>
      <c r="BX67" s="36"/>
      <c r="BY67" s="36">
        <f t="shared" si="132"/>
        <v>9</v>
      </c>
      <c r="BZ67" s="36">
        <f t="shared" si="122"/>
        <v>19</v>
      </c>
      <c r="CA67" s="36">
        <v>33</v>
      </c>
      <c r="CB67" s="36">
        <v>33</v>
      </c>
      <c r="CC67" s="37">
        <v>-24</v>
      </c>
      <c r="CD67" s="37">
        <v>-14</v>
      </c>
      <c r="CE67" s="36">
        <v>2787</v>
      </c>
      <c r="CF67" s="36">
        <v>3136</v>
      </c>
      <c r="CG67" s="36">
        <f t="shared" si="123"/>
        <v>8774</v>
      </c>
      <c r="CH67" s="36">
        <f t="shared" si="123"/>
        <v>12743</v>
      </c>
      <c r="CI67" s="36">
        <v>11394</v>
      </c>
      <c r="CJ67" s="36">
        <v>15165</v>
      </c>
      <c r="CK67" s="36">
        <v>-2620</v>
      </c>
      <c r="CL67" s="36">
        <v>-2422</v>
      </c>
      <c r="CM67" s="36">
        <f t="shared" si="124"/>
        <v>0</v>
      </c>
      <c r="CN67" s="36">
        <f t="shared" si="124"/>
        <v>0</v>
      </c>
      <c r="CO67" s="36">
        <v>0</v>
      </c>
      <c r="CP67" s="36">
        <v>0</v>
      </c>
      <c r="CQ67" s="36">
        <v>0</v>
      </c>
      <c r="CR67" s="36">
        <v>0</v>
      </c>
      <c r="CS67" s="36">
        <v>0</v>
      </c>
      <c r="CT67" s="36">
        <v>0</v>
      </c>
      <c r="CU67" s="36">
        <v>0</v>
      </c>
      <c r="CV67" s="36">
        <v>0</v>
      </c>
      <c r="CW67" s="36">
        <f t="shared" si="125"/>
        <v>5070</v>
      </c>
      <c r="CX67" s="36">
        <f t="shared" si="125"/>
        <v>209</v>
      </c>
      <c r="CY67" s="36">
        <v>39</v>
      </c>
      <c r="CZ67" s="36">
        <v>209</v>
      </c>
      <c r="DA67" s="36">
        <v>5031</v>
      </c>
      <c r="DB67" s="36">
        <v>0</v>
      </c>
      <c r="DC67" s="36">
        <v>0</v>
      </c>
      <c r="DD67" s="36">
        <v>0</v>
      </c>
      <c r="DE67" s="36">
        <f t="shared" si="142"/>
        <v>877018</v>
      </c>
      <c r="DF67" s="36">
        <f t="shared" si="126"/>
        <v>842344</v>
      </c>
      <c r="DG67" s="36">
        <f t="shared" si="127"/>
        <v>849322</v>
      </c>
      <c r="DH67" s="36">
        <f t="shared" si="127"/>
        <v>809113</v>
      </c>
      <c r="DI67" s="36">
        <f t="shared" si="128"/>
        <v>392795</v>
      </c>
      <c r="DJ67" s="36">
        <f t="shared" si="128"/>
        <v>407602</v>
      </c>
      <c r="DK67" s="36">
        <v>30000</v>
      </c>
      <c r="DL67" s="36">
        <v>0</v>
      </c>
      <c r="DM67" s="36">
        <v>7134</v>
      </c>
      <c r="DN67" s="36">
        <v>17239</v>
      </c>
      <c r="DO67" s="36">
        <v>58215</v>
      </c>
      <c r="DP67" s="36">
        <v>93798</v>
      </c>
      <c r="DQ67" s="36">
        <v>6246</v>
      </c>
      <c r="DR67" s="36">
        <v>704</v>
      </c>
      <c r="DS67" s="36">
        <v>5724</v>
      </c>
      <c r="DT67" s="36">
        <v>5086</v>
      </c>
      <c r="DU67" s="36">
        <v>5327</v>
      </c>
      <c r="DV67" s="36">
        <v>0</v>
      </c>
      <c r="DW67" s="36">
        <v>0</v>
      </c>
      <c r="DX67" s="36">
        <v>0</v>
      </c>
      <c r="DY67" s="36">
        <v>0</v>
      </c>
      <c r="DZ67" s="36">
        <v>0</v>
      </c>
      <c r="EA67" s="36">
        <v>283349</v>
      </c>
      <c r="EB67" s="36">
        <v>292235</v>
      </c>
      <c r="EC67" s="36">
        <v>0</v>
      </c>
      <c r="ED67" s="36">
        <v>0</v>
      </c>
      <c r="EE67" s="36">
        <v>-3200</v>
      </c>
      <c r="EF67" s="36">
        <v>-1460</v>
      </c>
      <c r="EG67" s="36">
        <f t="shared" si="129"/>
        <v>456527</v>
      </c>
      <c r="EH67" s="37">
        <f t="shared" si="94"/>
        <v>401511</v>
      </c>
      <c r="EI67" s="36">
        <v>0</v>
      </c>
      <c r="EJ67" s="36">
        <v>0</v>
      </c>
      <c r="EK67" s="36">
        <v>0</v>
      </c>
      <c r="EL67" s="36">
        <v>0</v>
      </c>
      <c r="EM67" s="36">
        <v>0</v>
      </c>
      <c r="EN67" s="36">
        <v>0</v>
      </c>
      <c r="EO67" s="36">
        <v>275624</v>
      </c>
      <c r="EP67" s="36">
        <v>275624</v>
      </c>
      <c r="EQ67" s="36">
        <v>0</v>
      </c>
      <c r="ER67" s="36">
        <v>0</v>
      </c>
      <c r="ES67" s="36">
        <v>0</v>
      </c>
      <c r="ET67" s="36">
        <v>0</v>
      </c>
      <c r="EU67" s="36">
        <v>0</v>
      </c>
      <c r="EV67" s="36">
        <v>0</v>
      </c>
      <c r="EW67" s="36">
        <v>180903</v>
      </c>
      <c r="EX67" s="36">
        <v>125887</v>
      </c>
      <c r="EY67" s="36">
        <v>0</v>
      </c>
      <c r="EZ67" s="36">
        <v>0</v>
      </c>
      <c r="FA67" s="36">
        <f t="shared" si="130"/>
        <v>27696</v>
      </c>
      <c r="FB67" s="36">
        <f t="shared" si="130"/>
        <v>33231</v>
      </c>
      <c r="FC67" s="36">
        <f t="shared" si="131"/>
        <v>24458</v>
      </c>
      <c r="FD67" s="36">
        <f t="shared" si="131"/>
        <v>25786</v>
      </c>
      <c r="FE67" s="36">
        <v>20368</v>
      </c>
      <c r="FF67" s="36">
        <v>21827</v>
      </c>
      <c r="FG67" s="36">
        <v>0</v>
      </c>
      <c r="FH67" s="36">
        <v>0</v>
      </c>
      <c r="FI67" s="36">
        <v>0</v>
      </c>
      <c r="FJ67" s="36">
        <v>0</v>
      </c>
      <c r="FK67" s="36">
        <v>0</v>
      </c>
      <c r="FL67" s="36">
        <v>0</v>
      </c>
      <c r="FM67" s="36">
        <v>0</v>
      </c>
      <c r="FN67" s="36">
        <v>0</v>
      </c>
      <c r="FO67" s="36">
        <v>0</v>
      </c>
      <c r="FP67" s="36">
        <v>0</v>
      </c>
      <c r="FQ67" s="36">
        <v>0</v>
      </c>
      <c r="FR67" s="36">
        <v>0</v>
      </c>
      <c r="FS67" s="36">
        <v>1031</v>
      </c>
      <c r="FT67" s="36">
        <v>1031</v>
      </c>
      <c r="FU67" s="36">
        <v>0</v>
      </c>
      <c r="FV67" s="36">
        <v>0</v>
      </c>
      <c r="FW67" s="36">
        <v>3059</v>
      </c>
      <c r="FX67" s="36">
        <v>2928</v>
      </c>
      <c r="FY67" s="36">
        <v>0</v>
      </c>
      <c r="FZ67" s="36">
        <v>0</v>
      </c>
      <c r="GA67" s="36">
        <v>0</v>
      </c>
      <c r="GB67" s="36">
        <v>0</v>
      </c>
      <c r="GC67" s="36">
        <f t="shared" si="62"/>
        <v>3238</v>
      </c>
      <c r="GD67" s="36">
        <f t="shared" si="63"/>
        <v>7445</v>
      </c>
      <c r="GE67" s="36"/>
      <c r="GF67" s="36"/>
      <c r="GG67" s="36">
        <v>3209</v>
      </c>
      <c r="GH67" s="36">
        <v>7416</v>
      </c>
      <c r="GI67" s="36">
        <v>29</v>
      </c>
      <c r="GJ67" s="36">
        <v>29</v>
      </c>
      <c r="GK67" s="36">
        <v>0</v>
      </c>
      <c r="GL67" s="36">
        <v>0</v>
      </c>
      <c r="GM67" s="36">
        <v>0</v>
      </c>
      <c r="GN67" s="36">
        <v>0</v>
      </c>
      <c r="GO67" s="36">
        <v>0</v>
      </c>
      <c r="GP67" s="36">
        <v>0</v>
      </c>
      <c r="GQ67" s="36">
        <v>0</v>
      </c>
      <c r="GR67" s="36">
        <v>0</v>
      </c>
      <c r="GS67" s="36">
        <v>0</v>
      </c>
      <c r="GT67" s="36">
        <v>0</v>
      </c>
      <c r="GU67" s="36">
        <v>0</v>
      </c>
      <c r="GV67" s="36">
        <v>0</v>
      </c>
      <c r="GW67" s="67"/>
      <c r="GX67" s="67"/>
      <c r="GY67" s="67"/>
      <c r="GZ67" s="67"/>
      <c r="HA67" s="67"/>
      <c r="HB67" s="31">
        <f t="shared" si="109"/>
        <v>0</v>
      </c>
      <c r="HC67" s="31">
        <f t="shared" si="110"/>
        <v>0</v>
      </c>
    </row>
    <row r="68" spans="1:211" s="14" customFormat="1" ht="17.25" customHeight="1">
      <c r="A68" s="23">
        <v>51</v>
      </c>
      <c r="B68" s="24" t="s">
        <v>236</v>
      </c>
      <c r="C68" s="36">
        <f t="shared" si="135"/>
        <v>77068</v>
      </c>
      <c r="D68" s="36">
        <f t="shared" si="135"/>
        <v>70170</v>
      </c>
      <c r="E68" s="36">
        <f t="shared" si="136"/>
        <v>70432</v>
      </c>
      <c r="F68" s="36">
        <f t="shared" si="136"/>
        <v>64997</v>
      </c>
      <c r="G68" s="36">
        <f t="shared" si="137"/>
        <v>15794</v>
      </c>
      <c r="H68" s="36">
        <f t="shared" si="137"/>
        <v>9532</v>
      </c>
      <c r="I68" s="36">
        <v>15794</v>
      </c>
      <c r="J68" s="36">
        <v>9532</v>
      </c>
      <c r="K68" s="36"/>
      <c r="L68" s="36"/>
      <c r="M68" s="36">
        <f t="shared" si="138"/>
        <v>0</v>
      </c>
      <c r="N68" s="36">
        <f t="shared" si="138"/>
        <v>0</v>
      </c>
      <c r="O68" s="36"/>
      <c r="P68" s="36"/>
      <c r="Q68" s="36"/>
      <c r="R68" s="36"/>
      <c r="S68" s="36">
        <f t="shared" si="139"/>
        <v>34384</v>
      </c>
      <c r="T68" s="36">
        <f t="shared" si="139"/>
        <v>31953</v>
      </c>
      <c r="U68" s="36">
        <v>31584</v>
      </c>
      <c r="V68" s="36">
        <v>28346</v>
      </c>
      <c r="W68" s="36">
        <v>2128</v>
      </c>
      <c r="X68" s="36">
        <v>1811</v>
      </c>
      <c r="Y68" s="36"/>
      <c r="Z68" s="36"/>
      <c r="AA68" s="36"/>
      <c r="AB68" s="36"/>
      <c r="AC68" s="36">
        <v>672</v>
      </c>
      <c r="AD68" s="36">
        <v>1796</v>
      </c>
      <c r="AE68" s="36"/>
      <c r="AF68" s="36"/>
      <c r="AG68" s="36">
        <f t="shared" si="140"/>
        <v>4728</v>
      </c>
      <c r="AH68" s="36">
        <f t="shared" si="140"/>
        <v>5134</v>
      </c>
      <c r="AI68" s="36">
        <v>4728</v>
      </c>
      <c r="AJ68" s="36">
        <v>5134</v>
      </c>
      <c r="AK68" s="36"/>
      <c r="AL68" s="36"/>
      <c r="AM68" s="36">
        <f t="shared" si="141"/>
        <v>15526</v>
      </c>
      <c r="AN68" s="36">
        <f t="shared" si="141"/>
        <v>18378</v>
      </c>
      <c r="AO68" s="36"/>
      <c r="AP68" s="36">
        <v>2010</v>
      </c>
      <c r="AQ68" s="36"/>
      <c r="AR68" s="36">
        <v>179</v>
      </c>
      <c r="AS68" s="36">
        <v>353</v>
      </c>
      <c r="AT68" s="36">
        <v>228</v>
      </c>
      <c r="AU68" s="36">
        <v>15173</v>
      </c>
      <c r="AV68" s="36">
        <v>15961</v>
      </c>
      <c r="AW68" s="36">
        <f aca="true" t="shared" si="143" ref="AW68:AX70">AY68+BK68+CG68+CM68+CW68</f>
        <v>6636</v>
      </c>
      <c r="AX68" s="36">
        <f t="shared" si="143"/>
        <v>5173</v>
      </c>
      <c r="AY68" s="36">
        <f t="shared" si="134"/>
        <v>0</v>
      </c>
      <c r="AZ68" s="36">
        <f t="shared" si="134"/>
        <v>0</v>
      </c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>
        <f aca="true" t="shared" si="144" ref="BK68:BL70">BM68+BS68+BY68+CE68</f>
        <v>6629</v>
      </c>
      <c r="BL68" s="36">
        <f t="shared" si="144"/>
        <v>5173</v>
      </c>
      <c r="BM68" s="36">
        <v>6102</v>
      </c>
      <c r="BN68" s="36">
        <f>BP68+BR68</f>
        <v>4691</v>
      </c>
      <c r="BO68" s="36">
        <v>15922</v>
      </c>
      <c r="BP68" s="36">
        <v>19637</v>
      </c>
      <c r="BQ68" s="36">
        <v>-9820</v>
      </c>
      <c r="BR68" s="36">
        <v>-14946</v>
      </c>
      <c r="BS68" s="36"/>
      <c r="BT68" s="36"/>
      <c r="BU68" s="36"/>
      <c r="BV68" s="36"/>
      <c r="BW68" s="36"/>
      <c r="BX68" s="36"/>
      <c r="BY68" s="36">
        <f t="shared" si="132"/>
        <v>0</v>
      </c>
      <c r="BZ68" s="36">
        <f t="shared" si="132"/>
        <v>0</v>
      </c>
      <c r="CA68" s="36"/>
      <c r="CB68" s="36"/>
      <c r="CC68" s="37"/>
      <c r="CD68" s="37"/>
      <c r="CE68" s="36">
        <v>527</v>
      </c>
      <c r="CF68" s="36">
        <v>482</v>
      </c>
      <c r="CG68" s="36">
        <f aca="true" t="shared" si="145" ref="CG68:CH70">CI68+CK68</f>
        <v>0</v>
      </c>
      <c r="CH68" s="36">
        <f t="shared" si="145"/>
        <v>0</v>
      </c>
      <c r="CI68" s="36">
        <v>265</v>
      </c>
      <c r="CJ68" s="36">
        <v>265</v>
      </c>
      <c r="CK68" s="36">
        <v>-265</v>
      </c>
      <c r="CL68" s="36">
        <v>-265</v>
      </c>
      <c r="CM68" s="36">
        <f>CO68+CQ68+CS68+CU68</f>
        <v>0</v>
      </c>
      <c r="CN68" s="36">
        <f>CP68+CR68+CT68+CV68</f>
        <v>0</v>
      </c>
      <c r="CO68" s="36"/>
      <c r="CP68" s="36"/>
      <c r="CQ68" s="36"/>
      <c r="CR68" s="36"/>
      <c r="CS68" s="36"/>
      <c r="CT68" s="36"/>
      <c r="CU68" s="36"/>
      <c r="CV68" s="36"/>
      <c r="CW68" s="36">
        <f aca="true" t="shared" si="146" ref="CW68:CX70">CY68+DA68+DC68</f>
        <v>7</v>
      </c>
      <c r="CX68" s="36">
        <f t="shared" si="146"/>
        <v>0</v>
      </c>
      <c r="CY68" s="36">
        <v>7</v>
      </c>
      <c r="CZ68" s="36"/>
      <c r="DA68" s="36"/>
      <c r="DB68" s="36"/>
      <c r="DC68" s="36"/>
      <c r="DD68" s="36"/>
      <c r="DE68" s="36">
        <f t="shared" si="142"/>
        <v>77068</v>
      </c>
      <c r="DF68" s="36">
        <f t="shared" si="142"/>
        <v>70170</v>
      </c>
      <c r="DG68" s="36">
        <f aca="true" t="shared" si="147" ref="DG68:DH70">DI68+EG68</f>
        <v>35839</v>
      </c>
      <c r="DH68" s="36">
        <f t="shared" si="147"/>
        <v>32588</v>
      </c>
      <c r="DI68" s="36">
        <f aca="true" t="shared" si="148" ref="DI68:DJ70">DK68+DM68+DO68+DQ68+DS68+DU68+DW68+DY68+EA68+EC68+EE68</f>
        <v>35839</v>
      </c>
      <c r="DJ68" s="36">
        <f t="shared" si="148"/>
        <v>32588</v>
      </c>
      <c r="DK68" s="36"/>
      <c r="DL68" s="36"/>
      <c r="DM68" s="36"/>
      <c r="DN68" s="36">
        <v>687</v>
      </c>
      <c r="DO68" s="36">
        <v>3426</v>
      </c>
      <c r="DP68" s="36">
        <v>2170</v>
      </c>
      <c r="DQ68" s="36">
        <v>1718</v>
      </c>
      <c r="DR68" s="36">
        <v>2111</v>
      </c>
      <c r="DS68" s="36">
        <v>5400</v>
      </c>
      <c r="DT68" s="36">
        <v>4017</v>
      </c>
      <c r="DU68" s="36">
        <v>8213</v>
      </c>
      <c r="DV68" s="36">
        <v>8111</v>
      </c>
      <c r="DW68" s="36"/>
      <c r="DX68" s="36"/>
      <c r="DY68" s="36"/>
      <c r="DZ68" s="36"/>
      <c r="EA68" s="36">
        <v>17171</v>
      </c>
      <c r="EB68" s="36">
        <v>13897</v>
      </c>
      <c r="EC68" s="36"/>
      <c r="ED68" s="36"/>
      <c r="EE68" s="36">
        <v>-89</v>
      </c>
      <c r="EF68" s="36">
        <v>1595</v>
      </c>
      <c r="EG68" s="36">
        <f>EI68+EK68+EM68+EO68+EQ68+ES68+EU68+EW68+EY68</f>
        <v>0</v>
      </c>
      <c r="EH68" s="37">
        <f t="shared" si="94"/>
        <v>0</v>
      </c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>
        <f aca="true" t="shared" si="149" ref="FA68:FB70">FC68+GC68</f>
        <v>41229</v>
      </c>
      <c r="FB68" s="36">
        <f t="shared" si="149"/>
        <v>37582</v>
      </c>
      <c r="FC68" s="36">
        <f aca="true" t="shared" si="150" ref="FC68:FD70">FE68+FG68+FI68+FK68+FM68+FO68+FQ68+FS68+FU68+FW68+FY68+GA68</f>
        <v>41229</v>
      </c>
      <c r="FD68" s="36">
        <f t="shared" si="150"/>
        <v>37582</v>
      </c>
      <c r="FE68" s="36">
        <v>38783</v>
      </c>
      <c r="FF68" s="36">
        <v>33053</v>
      </c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>
        <v>3388</v>
      </c>
      <c r="FR68" s="36"/>
      <c r="FS68" s="36"/>
      <c r="FT68" s="36">
        <v>1276</v>
      </c>
      <c r="FU68" s="36"/>
      <c r="FV68" s="36"/>
      <c r="FW68" s="36">
        <v>-942</v>
      </c>
      <c r="FX68" s="36">
        <v>3253</v>
      </c>
      <c r="FY68" s="36"/>
      <c r="FZ68" s="36"/>
      <c r="GA68" s="36"/>
      <c r="GB68" s="36"/>
      <c r="GC68" s="36">
        <f t="shared" si="62"/>
        <v>0</v>
      </c>
      <c r="GD68" s="36">
        <f t="shared" si="63"/>
        <v>0</v>
      </c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68"/>
      <c r="GX68" s="68"/>
      <c r="GY68" s="68"/>
      <c r="GZ68" s="68"/>
      <c r="HA68" s="68"/>
      <c r="HB68" s="31">
        <f t="shared" si="109"/>
        <v>0</v>
      </c>
      <c r="HC68" s="31">
        <f t="shared" si="110"/>
        <v>0</v>
      </c>
    </row>
    <row r="69" spans="1:211" s="13" customFormat="1" ht="17.25" customHeight="1">
      <c r="A69" s="23">
        <v>52</v>
      </c>
      <c r="B69" s="24" t="s">
        <v>237</v>
      </c>
      <c r="C69" s="36">
        <f t="shared" si="135"/>
        <v>48425</v>
      </c>
      <c r="D69" s="36">
        <f t="shared" si="135"/>
        <v>48318</v>
      </c>
      <c r="E69" s="36">
        <f t="shared" si="136"/>
        <v>38716</v>
      </c>
      <c r="F69" s="36">
        <f t="shared" si="136"/>
        <v>40192</v>
      </c>
      <c r="G69" s="36">
        <f t="shared" si="137"/>
        <v>20558</v>
      </c>
      <c r="H69" s="36">
        <f t="shared" si="137"/>
        <v>25426</v>
      </c>
      <c r="I69" s="36">
        <v>20558</v>
      </c>
      <c r="J69" s="36">
        <v>25426</v>
      </c>
      <c r="K69" s="36">
        <v>0</v>
      </c>
      <c r="L69" s="36">
        <v>0</v>
      </c>
      <c r="M69" s="36">
        <f t="shared" si="138"/>
        <v>0</v>
      </c>
      <c r="N69" s="36">
        <f t="shared" si="138"/>
        <v>0</v>
      </c>
      <c r="O69" s="36">
        <v>0</v>
      </c>
      <c r="P69" s="36">
        <v>0</v>
      </c>
      <c r="Q69" s="36">
        <v>0</v>
      </c>
      <c r="R69" s="36">
        <v>0</v>
      </c>
      <c r="S69" s="36">
        <f t="shared" si="139"/>
        <v>17519</v>
      </c>
      <c r="T69" s="36">
        <f t="shared" si="139"/>
        <v>12700</v>
      </c>
      <c r="U69" s="36">
        <v>17991</v>
      </c>
      <c r="V69" s="36">
        <v>12689</v>
      </c>
      <c r="W69" s="36">
        <v>20</v>
      </c>
      <c r="X69" s="36">
        <v>520</v>
      </c>
      <c r="Y69" s="36"/>
      <c r="Z69" s="36"/>
      <c r="AA69" s="36"/>
      <c r="AB69" s="36"/>
      <c r="AC69" s="36">
        <v>24</v>
      </c>
      <c r="AD69" s="36">
        <v>0</v>
      </c>
      <c r="AE69" s="36">
        <v>-516</v>
      </c>
      <c r="AF69" s="36">
        <v>-509</v>
      </c>
      <c r="AG69" s="36">
        <f t="shared" si="140"/>
        <v>90</v>
      </c>
      <c r="AH69" s="36">
        <f t="shared" si="140"/>
        <v>331</v>
      </c>
      <c r="AI69" s="36">
        <v>463</v>
      </c>
      <c r="AJ69" s="36">
        <v>704</v>
      </c>
      <c r="AK69" s="36">
        <v>-373</v>
      </c>
      <c r="AL69" s="36">
        <v>-373</v>
      </c>
      <c r="AM69" s="36">
        <f t="shared" si="141"/>
        <v>549</v>
      </c>
      <c r="AN69" s="36">
        <f t="shared" si="141"/>
        <v>1735</v>
      </c>
      <c r="AO69" s="36">
        <v>0</v>
      </c>
      <c r="AP69" s="36">
        <v>0</v>
      </c>
      <c r="AQ69" s="36">
        <v>0</v>
      </c>
      <c r="AR69" s="36">
        <v>0</v>
      </c>
      <c r="AS69" s="36">
        <v>18</v>
      </c>
      <c r="AT69" s="36">
        <v>0</v>
      </c>
      <c r="AU69" s="36">
        <v>531</v>
      </c>
      <c r="AV69" s="36">
        <v>1735</v>
      </c>
      <c r="AW69" s="36">
        <f t="shared" si="143"/>
        <v>9709</v>
      </c>
      <c r="AX69" s="36">
        <f t="shared" si="143"/>
        <v>8126</v>
      </c>
      <c r="AY69" s="36">
        <f t="shared" si="134"/>
        <v>0</v>
      </c>
      <c r="AZ69" s="36">
        <f t="shared" si="134"/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f t="shared" si="144"/>
        <v>9709</v>
      </c>
      <c r="BL69" s="36">
        <f t="shared" si="144"/>
        <v>8126</v>
      </c>
      <c r="BM69" s="36">
        <f>BO69+BQ69</f>
        <v>9709</v>
      </c>
      <c r="BN69" s="36">
        <f>BP69+BR69</f>
        <v>8116</v>
      </c>
      <c r="BO69" s="36">
        <v>16635</v>
      </c>
      <c r="BP69" s="36">
        <v>13898</v>
      </c>
      <c r="BQ69" s="36">
        <v>-6926</v>
      </c>
      <c r="BR69" s="36">
        <v>-5782</v>
      </c>
      <c r="BS69" s="36"/>
      <c r="BT69" s="36"/>
      <c r="BU69" s="36"/>
      <c r="BV69" s="36"/>
      <c r="BW69" s="36"/>
      <c r="BX69" s="36"/>
      <c r="BY69" s="36">
        <f t="shared" si="132"/>
        <v>0</v>
      </c>
      <c r="BZ69" s="36">
        <f t="shared" si="132"/>
        <v>0</v>
      </c>
      <c r="CA69" s="36"/>
      <c r="CB69" s="36"/>
      <c r="CC69" s="37"/>
      <c r="CD69" s="37"/>
      <c r="CE69" s="36">
        <v>0</v>
      </c>
      <c r="CF69" s="36">
        <v>10</v>
      </c>
      <c r="CG69" s="36">
        <f t="shared" si="145"/>
        <v>0</v>
      </c>
      <c r="CH69" s="36">
        <f t="shared" si="145"/>
        <v>0</v>
      </c>
      <c r="CI69" s="36"/>
      <c r="CJ69" s="36"/>
      <c r="CK69" s="36"/>
      <c r="CL69" s="36"/>
      <c r="CM69" s="36">
        <f>CO69+CQ69+CS69+CU69</f>
        <v>0</v>
      </c>
      <c r="CN69" s="36">
        <f>CP69+CR69+CT69+CV69</f>
        <v>0</v>
      </c>
      <c r="CO69" s="36"/>
      <c r="CP69" s="36"/>
      <c r="CQ69" s="36"/>
      <c r="CR69" s="36"/>
      <c r="CS69" s="36"/>
      <c r="CT69" s="36"/>
      <c r="CU69" s="36"/>
      <c r="CV69" s="36"/>
      <c r="CW69" s="36">
        <f t="shared" si="146"/>
        <v>0</v>
      </c>
      <c r="CX69" s="36">
        <f t="shared" si="146"/>
        <v>0</v>
      </c>
      <c r="CY69" s="36"/>
      <c r="CZ69" s="36"/>
      <c r="DA69" s="36"/>
      <c r="DB69" s="36"/>
      <c r="DC69" s="36"/>
      <c r="DD69" s="36"/>
      <c r="DE69" s="36">
        <f t="shared" si="142"/>
        <v>48425</v>
      </c>
      <c r="DF69" s="36">
        <f t="shared" si="142"/>
        <v>48318</v>
      </c>
      <c r="DG69" s="36">
        <f t="shared" si="147"/>
        <v>14374</v>
      </c>
      <c r="DH69" s="36">
        <f t="shared" si="147"/>
        <v>16169</v>
      </c>
      <c r="DI69" s="36">
        <f t="shared" si="148"/>
        <v>14113</v>
      </c>
      <c r="DJ69" s="36">
        <f t="shared" si="148"/>
        <v>16147</v>
      </c>
      <c r="DK69" s="36">
        <v>0</v>
      </c>
      <c r="DL69" s="36">
        <v>0</v>
      </c>
      <c r="DM69" s="36">
        <v>1082</v>
      </c>
      <c r="DN69" s="36">
        <v>1884</v>
      </c>
      <c r="DO69" s="36">
        <v>265</v>
      </c>
      <c r="DP69" s="36">
        <v>300</v>
      </c>
      <c r="DQ69" s="36">
        <v>2232</v>
      </c>
      <c r="DR69" s="36">
        <v>2879</v>
      </c>
      <c r="DS69" s="36">
        <v>8932</v>
      </c>
      <c r="DT69" s="36">
        <v>11709</v>
      </c>
      <c r="DU69" s="36"/>
      <c r="DV69" s="36"/>
      <c r="DW69" s="36"/>
      <c r="DX69" s="36"/>
      <c r="DY69" s="36"/>
      <c r="DZ69" s="36"/>
      <c r="EA69" s="36">
        <v>47</v>
      </c>
      <c r="EB69" s="36">
        <v>21</v>
      </c>
      <c r="EC69" s="36">
        <v>0</v>
      </c>
      <c r="ED69" s="36">
        <v>0</v>
      </c>
      <c r="EE69" s="36">
        <v>1555</v>
      </c>
      <c r="EF69" s="36">
        <v>-646</v>
      </c>
      <c r="EG69" s="36">
        <f>EI69+EK69+EM69+EO69+EQ69+ES69+EU69+EW69+EY69</f>
        <v>261</v>
      </c>
      <c r="EH69" s="37">
        <f t="shared" si="94"/>
        <v>22</v>
      </c>
      <c r="EI69" s="36">
        <v>0</v>
      </c>
      <c r="EJ69" s="36">
        <v>0</v>
      </c>
      <c r="EK69" s="36">
        <v>0</v>
      </c>
      <c r="EL69" s="36">
        <v>0</v>
      </c>
      <c r="EM69" s="36">
        <v>15</v>
      </c>
      <c r="EN69" s="36">
        <v>22</v>
      </c>
      <c r="EO69" s="36">
        <v>0</v>
      </c>
      <c r="EP69" s="36">
        <v>0</v>
      </c>
      <c r="EQ69" s="36"/>
      <c r="ER69" s="36"/>
      <c r="ES69" s="36"/>
      <c r="ET69" s="36"/>
      <c r="EU69" s="36"/>
      <c r="EV69" s="36"/>
      <c r="EW69" s="36"/>
      <c r="EX69" s="36"/>
      <c r="EY69" s="36">
        <v>246</v>
      </c>
      <c r="EZ69" s="36">
        <v>0</v>
      </c>
      <c r="FA69" s="36">
        <f t="shared" si="149"/>
        <v>34051</v>
      </c>
      <c r="FB69" s="36">
        <f t="shared" si="149"/>
        <v>32149</v>
      </c>
      <c r="FC69" s="36">
        <f t="shared" si="150"/>
        <v>33890</v>
      </c>
      <c r="FD69" s="36">
        <f t="shared" si="150"/>
        <v>31988</v>
      </c>
      <c r="FE69" s="36">
        <v>20145</v>
      </c>
      <c r="FF69" s="36">
        <v>20145</v>
      </c>
      <c r="FG69" s="36">
        <v>0</v>
      </c>
      <c r="FH69" s="36">
        <v>0</v>
      </c>
      <c r="FI69" s="36">
        <v>23</v>
      </c>
      <c r="FJ69" s="36">
        <v>23</v>
      </c>
      <c r="FK69" s="36">
        <v>0</v>
      </c>
      <c r="FL69" s="36">
        <v>0</v>
      </c>
      <c r="FM69" s="36"/>
      <c r="FN69" s="36"/>
      <c r="FO69" s="36"/>
      <c r="FP69" s="36"/>
      <c r="FQ69" s="36"/>
      <c r="FR69" s="36"/>
      <c r="FS69" s="36">
        <v>425</v>
      </c>
      <c r="FT69" s="36">
        <v>183</v>
      </c>
      <c r="FU69" s="36">
        <v>0</v>
      </c>
      <c r="FV69" s="36">
        <v>0</v>
      </c>
      <c r="FW69" s="36">
        <v>13297</v>
      </c>
      <c r="FX69" s="36">
        <v>11637</v>
      </c>
      <c r="FY69" s="36"/>
      <c r="FZ69" s="36"/>
      <c r="GA69" s="36"/>
      <c r="GB69" s="36"/>
      <c r="GC69" s="36">
        <f t="shared" si="62"/>
        <v>161</v>
      </c>
      <c r="GD69" s="36">
        <f t="shared" si="63"/>
        <v>161</v>
      </c>
      <c r="GE69" s="36"/>
      <c r="GF69" s="36"/>
      <c r="GG69" s="36">
        <v>161</v>
      </c>
      <c r="GH69" s="36">
        <v>161</v>
      </c>
      <c r="GI69" s="36">
        <v>0</v>
      </c>
      <c r="GJ69" s="36">
        <v>0</v>
      </c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67"/>
      <c r="GX69" s="67"/>
      <c r="GY69" s="67"/>
      <c r="GZ69" s="67"/>
      <c r="HA69" s="67"/>
      <c r="HB69" s="31">
        <f t="shared" si="109"/>
        <v>0</v>
      </c>
      <c r="HC69" s="31">
        <f t="shared" si="110"/>
        <v>0</v>
      </c>
    </row>
    <row r="70" spans="1:214" s="16" customFormat="1" ht="17.25" customHeight="1">
      <c r="A70" s="25">
        <v>53</v>
      </c>
      <c r="B70" s="26" t="s">
        <v>202</v>
      </c>
      <c r="C70" s="47">
        <f t="shared" si="135"/>
        <v>1348216.3760410002</v>
      </c>
      <c r="D70" s="47">
        <f t="shared" si="135"/>
        <v>1276347.7848669998</v>
      </c>
      <c r="E70" s="47">
        <f t="shared" si="136"/>
        <v>309179.561452</v>
      </c>
      <c r="F70" s="47">
        <f t="shared" si="136"/>
        <v>264668.861647</v>
      </c>
      <c r="G70" s="47">
        <f t="shared" si="137"/>
        <v>92409.575151</v>
      </c>
      <c r="H70" s="47">
        <f t="shared" si="137"/>
        <v>125013.95873</v>
      </c>
      <c r="I70" s="47">
        <f>92409575151/1000000</f>
        <v>92409.575151</v>
      </c>
      <c r="J70" s="47">
        <f>125013958730/1000000</f>
        <v>125013.95873</v>
      </c>
      <c r="K70" s="47">
        <v>0</v>
      </c>
      <c r="L70" s="47">
        <v>0</v>
      </c>
      <c r="M70" s="47">
        <f>SUM(O70+Q70)</f>
        <v>0</v>
      </c>
      <c r="N70" s="47">
        <f t="shared" si="138"/>
        <v>0</v>
      </c>
      <c r="O70" s="47">
        <v>0</v>
      </c>
      <c r="P70" s="47">
        <v>0</v>
      </c>
      <c r="Q70" s="47">
        <v>0</v>
      </c>
      <c r="R70" s="47">
        <v>0</v>
      </c>
      <c r="S70" s="47">
        <f t="shared" si="139"/>
        <v>157629.336176</v>
      </c>
      <c r="T70" s="47">
        <f t="shared" si="139"/>
        <v>84205.24287100001</v>
      </c>
      <c r="U70" s="47">
        <f>138452256599/1000000</f>
        <v>138452.256599</v>
      </c>
      <c r="V70" s="47">
        <f>68611024843/1000000</f>
        <v>68611.024843</v>
      </c>
      <c r="W70" s="47">
        <f>23857854129/1000000</f>
        <v>23857.854129</v>
      </c>
      <c r="X70" s="47">
        <f>12217593589/1000000</f>
        <v>12217.593589</v>
      </c>
      <c r="Y70" s="47">
        <v>0</v>
      </c>
      <c r="Z70" s="47">
        <v>0</v>
      </c>
      <c r="AA70" s="47">
        <v>0</v>
      </c>
      <c r="AB70" s="47">
        <v>0</v>
      </c>
      <c r="AC70" s="47">
        <f>3181582560/1000000</f>
        <v>3181.58256</v>
      </c>
      <c r="AD70" s="47">
        <f>3376624439/1000000</f>
        <v>3376.624439</v>
      </c>
      <c r="AE70" s="36">
        <f>-7862357112/1000000</f>
        <v>-7862.357112</v>
      </c>
      <c r="AF70" s="36">
        <v>0</v>
      </c>
      <c r="AG70" s="47">
        <f t="shared" si="140"/>
        <v>44586.898129</v>
      </c>
      <c r="AH70" s="47">
        <f t="shared" si="140"/>
        <v>49123.851899</v>
      </c>
      <c r="AI70" s="47">
        <f>44586898129/1000000</f>
        <v>44586.898129</v>
      </c>
      <c r="AJ70" s="47">
        <f>49123851899/1000000</f>
        <v>49123.851899</v>
      </c>
      <c r="AK70" s="36">
        <v>0</v>
      </c>
      <c r="AL70" s="36">
        <v>0</v>
      </c>
      <c r="AM70" s="47">
        <f t="shared" si="141"/>
        <v>14553.751995999999</v>
      </c>
      <c r="AN70" s="47">
        <f t="shared" si="141"/>
        <v>6325.808147</v>
      </c>
      <c r="AO70" s="47">
        <f>3193006610/1000000</f>
        <v>3193.00661</v>
      </c>
      <c r="AP70" s="47">
        <f>2520422310/1000000</f>
        <v>2520.42231</v>
      </c>
      <c r="AQ70" s="47">
        <f>138023221/1000000</f>
        <v>138.023221</v>
      </c>
      <c r="AR70" s="47">
        <v>0</v>
      </c>
      <c r="AS70" s="47">
        <f>7481861201/1000000</f>
        <v>7481.861201</v>
      </c>
      <c r="AT70" s="47">
        <v>0</v>
      </c>
      <c r="AU70" s="47">
        <f>3740860964/1000000</f>
        <v>3740.860964</v>
      </c>
      <c r="AV70" s="47">
        <f>3805385837/1000000</f>
        <v>3805.385837</v>
      </c>
      <c r="AW70" s="47">
        <f t="shared" si="143"/>
        <v>1039036.8145890002</v>
      </c>
      <c r="AX70" s="47">
        <f t="shared" si="143"/>
        <v>1011678.9232199999</v>
      </c>
      <c r="AY70" s="47">
        <f t="shared" si="134"/>
        <v>0</v>
      </c>
      <c r="AZ70" s="47">
        <f t="shared" si="134"/>
        <v>0</v>
      </c>
      <c r="BA70" s="47">
        <v>0</v>
      </c>
      <c r="BB70" s="47">
        <v>0</v>
      </c>
      <c r="BC70" s="47"/>
      <c r="BD70" s="47">
        <v>0</v>
      </c>
      <c r="BE70" s="47">
        <v>0</v>
      </c>
      <c r="BF70" s="47">
        <v>0</v>
      </c>
      <c r="BG70" s="47">
        <v>0</v>
      </c>
      <c r="BH70" s="47">
        <v>0</v>
      </c>
      <c r="BI70" s="36">
        <v>0</v>
      </c>
      <c r="BJ70" s="36">
        <v>0</v>
      </c>
      <c r="BK70" s="41">
        <f t="shared" si="144"/>
        <v>1035139.4572780002</v>
      </c>
      <c r="BL70" s="40">
        <f t="shared" si="144"/>
        <v>1004780.8828189999</v>
      </c>
      <c r="BM70" s="47">
        <f>BO70+BQ70</f>
        <v>842768.6915070001</v>
      </c>
      <c r="BN70" s="47">
        <f>BP70+BR70</f>
        <v>823750.6627939999</v>
      </c>
      <c r="BO70" s="47">
        <f>1513736121678/1000000</f>
        <v>1513736.121678</v>
      </c>
      <c r="BP70" s="47">
        <f>1455572816375/1000000</f>
        <v>1455572.816375</v>
      </c>
      <c r="BQ70" s="36">
        <f>-670967430171/1000000</f>
        <v>-670967.430171</v>
      </c>
      <c r="BR70" s="36">
        <f>-631822153581/1000000</f>
        <v>-631822.153581</v>
      </c>
      <c r="BS70" s="47">
        <v>0</v>
      </c>
      <c r="BT70" s="47">
        <v>0</v>
      </c>
      <c r="BU70" s="47">
        <v>0</v>
      </c>
      <c r="BV70" s="47">
        <v>0</v>
      </c>
      <c r="BW70" s="47">
        <v>0</v>
      </c>
      <c r="BX70" s="47">
        <v>0</v>
      </c>
      <c r="BY70" s="47">
        <f>CA70+CC70</f>
        <v>164.14968000000002</v>
      </c>
      <c r="BZ70" s="47">
        <f>CB70+CD70</f>
        <v>92.14102200000002</v>
      </c>
      <c r="CA70" s="47">
        <f>301850454/1000000</f>
        <v>301.850454</v>
      </c>
      <c r="CB70" s="47">
        <f>226850454/1000000</f>
        <v>226.850454</v>
      </c>
      <c r="CC70" s="37">
        <f>-137700774/1000000</f>
        <v>-137.700774</v>
      </c>
      <c r="CD70" s="37">
        <f>-134709432/1000000</f>
        <v>-134.709432</v>
      </c>
      <c r="CE70" s="47">
        <f>192206616091/1000000</f>
        <v>192206.616091</v>
      </c>
      <c r="CF70" s="47">
        <f>180938079003/1000000</f>
        <v>180938.079003</v>
      </c>
      <c r="CG70" s="47">
        <f t="shared" si="145"/>
        <v>0</v>
      </c>
      <c r="CH70" s="47">
        <f t="shared" si="145"/>
        <v>0</v>
      </c>
      <c r="CI70" s="47">
        <v>0</v>
      </c>
      <c r="CJ70" s="47">
        <v>0</v>
      </c>
      <c r="CK70" s="36">
        <v>0</v>
      </c>
      <c r="CL70" s="36">
        <v>0</v>
      </c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47">
        <v>0</v>
      </c>
      <c r="CT70" s="47">
        <v>0</v>
      </c>
      <c r="CU70" s="36">
        <v>0</v>
      </c>
      <c r="CV70" s="36">
        <v>0</v>
      </c>
      <c r="CW70" s="47">
        <f t="shared" si="146"/>
        <v>3897.357311</v>
      </c>
      <c r="CX70" s="47">
        <f t="shared" si="146"/>
        <v>6898.040401</v>
      </c>
      <c r="CY70" s="47">
        <f>3897357311/1000000</f>
        <v>3897.357311</v>
      </c>
      <c r="CZ70" s="47">
        <f>6898040401/1000000</f>
        <v>6898.040401</v>
      </c>
      <c r="DA70" s="47">
        <v>0</v>
      </c>
      <c r="DB70" s="47">
        <v>0</v>
      </c>
      <c r="DC70" s="47">
        <v>0</v>
      </c>
      <c r="DD70" s="47">
        <v>0</v>
      </c>
      <c r="DE70" s="47">
        <f t="shared" si="142"/>
        <v>1348216.376041</v>
      </c>
      <c r="DF70" s="47">
        <f t="shared" si="142"/>
        <v>1276347.7848669998</v>
      </c>
      <c r="DG70" s="47">
        <f t="shared" si="147"/>
        <v>325934.800099</v>
      </c>
      <c r="DH70" s="47">
        <f t="shared" si="147"/>
        <v>267357.95722</v>
      </c>
      <c r="DI70" s="47">
        <f t="shared" si="148"/>
        <v>250282.888455</v>
      </c>
      <c r="DJ70" s="47">
        <f t="shared" si="148"/>
        <v>183332.215839</v>
      </c>
      <c r="DK70" s="47">
        <v>0</v>
      </c>
      <c r="DL70" s="47">
        <v>0</v>
      </c>
      <c r="DM70" s="47">
        <f>48256124620/1000000</f>
        <v>48256.12462</v>
      </c>
      <c r="DN70" s="47">
        <f>80068596174/1000000</f>
        <v>80068.596174</v>
      </c>
      <c r="DO70" s="47">
        <f>5828390769/1000000</f>
        <v>5828.390769</v>
      </c>
      <c r="DP70" s="47">
        <f>7345742925/1000000</f>
        <v>7345.742925</v>
      </c>
      <c r="DQ70" s="47">
        <f>2510417618/1000000</f>
        <v>2510.417618</v>
      </c>
      <c r="DR70" s="47">
        <f>6274686017/1000000</f>
        <v>6274.686017</v>
      </c>
      <c r="DS70" s="47">
        <f>143459161040/1000000</f>
        <v>143459.16104</v>
      </c>
      <c r="DT70" s="47">
        <f>64880367583/1000000</f>
        <v>64880.367583</v>
      </c>
      <c r="DU70" s="47">
        <v>0</v>
      </c>
      <c r="DV70" s="47">
        <v>0</v>
      </c>
      <c r="DW70" s="47">
        <v>0</v>
      </c>
      <c r="DX70" s="47">
        <v>0</v>
      </c>
      <c r="DY70" s="47">
        <v>0</v>
      </c>
      <c r="DZ70" s="47">
        <v>0</v>
      </c>
      <c r="EA70" s="47">
        <f>47399093403/1000000</f>
        <v>47399.093403</v>
      </c>
      <c r="EB70" s="47">
        <f>30118456889/1000000</f>
        <v>30118.456889</v>
      </c>
      <c r="EC70" s="47">
        <v>0</v>
      </c>
      <c r="ED70" s="47">
        <v>0</v>
      </c>
      <c r="EE70" s="47">
        <f>2829701005/1000000</f>
        <v>2829.701005</v>
      </c>
      <c r="EF70" s="47">
        <f>-5355633749/1000000</f>
        <v>-5355.633749</v>
      </c>
      <c r="EG70" s="47">
        <f>EI70+EK70+EM70+EO70+EQ70+ES70+EU70+EW70+EY70</f>
        <v>75651.91164399999</v>
      </c>
      <c r="EH70" s="37">
        <f t="shared" si="94"/>
        <v>84025.741381</v>
      </c>
      <c r="EI70" s="47">
        <v>0</v>
      </c>
      <c r="EJ70" s="47">
        <v>0</v>
      </c>
      <c r="EK70" s="47">
        <v>0</v>
      </c>
      <c r="EL70" s="47">
        <v>0</v>
      </c>
      <c r="EM70" s="47">
        <v>0</v>
      </c>
      <c r="EN70" s="47">
        <v>0</v>
      </c>
      <c r="EO70" s="47">
        <f>26006462601/1000000</f>
        <v>26006.462601</v>
      </c>
      <c r="EP70" s="47">
        <f>84025741381/1000000</f>
        <v>84025.741381</v>
      </c>
      <c r="EQ70" s="47">
        <v>0</v>
      </c>
      <c r="ER70" s="47">
        <v>0</v>
      </c>
      <c r="ES70" s="47">
        <v>0</v>
      </c>
      <c r="ET70" s="47">
        <v>0</v>
      </c>
      <c r="EU70" s="47">
        <v>0</v>
      </c>
      <c r="EV70" s="47">
        <v>0</v>
      </c>
      <c r="EW70" s="47">
        <f>48482652319/1000000</f>
        <v>48482.652319</v>
      </c>
      <c r="EX70" s="47">
        <v>0</v>
      </c>
      <c r="EY70" s="47">
        <f>1162796724/1000000</f>
        <v>1162.796724</v>
      </c>
      <c r="EZ70" s="47">
        <v>0</v>
      </c>
      <c r="FA70" s="47">
        <f t="shared" si="149"/>
        <v>1022281.575942</v>
      </c>
      <c r="FB70" s="47">
        <f t="shared" si="149"/>
        <v>1008989.8276469999</v>
      </c>
      <c r="FC70" s="47">
        <f t="shared" si="150"/>
        <v>329062.26954999997</v>
      </c>
      <c r="FD70" s="47">
        <f t="shared" si="150"/>
        <v>317047.41089899995</v>
      </c>
      <c r="FE70" s="47">
        <f>289834924985/1000000</f>
        <v>289834.924985</v>
      </c>
      <c r="FF70" s="47">
        <f>264969179807/1000000</f>
        <v>264969.179807</v>
      </c>
      <c r="FG70" s="47">
        <v>0</v>
      </c>
      <c r="FH70" s="47">
        <v>0</v>
      </c>
      <c r="FI70" s="47">
        <v>0</v>
      </c>
      <c r="FJ70" s="47">
        <v>0</v>
      </c>
      <c r="FK70" s="47">
        <v>0</v>
      </c>
      <c r="FL70" s="47">
        <v>0</v>
      </c>
      <c r="FM70" s="47">
        <v>0</v>
      </c>
      <c r="FN70" s="47">
        <v>0</v>
      </c>
      <c r="FO70" s="47">
        <f>6548152050/1000000</f>
        <v>6548.15205</v>
      </c>
      <c r="FP70" s="47">
        <f>4612734283/1000000</f>
        <v>4612.734283</v>
      </c>
      <c r="FQ70" s="47">
        <f>3699807181/1000000</f>
        <v>3699.807181</v>
      </c>
      <c r="FR70" s="47">
        <f>-839760687/1000000</f>
        <v>-839.760687</v>
      </c>
      <c r="FS70" s="47">
        <f>7471659372/1000000</f>
        <v>7471.659372</v>
      </c>
      <c r="FT70" s="47">
        <f>6085607860/1000000</f>
        <v>6085.60786</v>
      </c>
      <c r="FU70" s="47">
        <v>0</v>
      </c>
      <c r="FV70" s="47">
        <v>0</v>
      </c>
      <c r="FW70" s="47">
        <f>10807137765/1000000</f>
        <v>10807.137765</v>
      </c>
      <c r="FX70" s="47">
        <f>15718547866/1000000</f>
        <v>15718.547866</v>
      </c>
      <c r="FY70" s="47">
        <f>10700588197/1000000</f>
        <v>10700.588197</v>
      </c>
      <c r="FZ70" s="47">
        <f>26501101770/1000000</f>
        <v>26501.10177</v>
      </c>
      <c r="GA70" s="47">
        <v>0</v>
      </c>
      <c r="GB70" s="47">
        <v>0</v>
      </c>
      <c r="GC70" s="47">
        <f t="shared" si="62"/>
        <v>693219.306392</v>
      </c>
      <c r="GD70" s="47">
        <f t="shared" si="63"/>
        <v>691942.416748</v>
      </c>
      <c r="GE70" s="47">
        <v>0</v>
      </c>
      <c r="GF70" s="47">
        <v>0</v>
      </c>
      <c r="GG70" s="47">
        <f>180847710342/1000000</f>
        <v>180847.710342</v>
      </c>
      <c r="GH70" s="47">
        <f>180961234342/1000000</f>
        <v>180961.234342</v>
      </c>
      <c r="GI70" s="47">
        <f>512371596050/1000000</f>
        <v>512371.59605</v>
      </c>
      <c r="GJ70" s="47">
        <f>510981182406/1000000</f>
        <v>510981.182406</v>
      </c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60"/>
      <c r="GX70" s="60"/>
      <c r="GY70" s="60"/>
      <c r="GZ70" s="60"/>
      <c r="HA70" s="60"/>
      <c r="HB70" s="31">
        <f t="shared" si="109"/>
        <v>0</v>
      </c>
      <c r="HC70" s="31">
        <f t="shared" si="110"/>
        <v>0</v>
      </c>
      <c r="HD70" s="15"/>
      <c r="HE70" s="15"/>
      <c r="HF70" s="15"/>
    </row>
    <row r="71" spans="210:211" ht="15">
      <c r="HB71" s="3"/>
      <c r="HC71" s="3"/>
    </row>
  </sheetData>
  <sheetProtection/>
  <mergeCells count="302">
    <mergeCell ref="C1:I1"/>
    <mergeCell ref="EI12:EJ12"/>
    <mergeCell ref="GM10:GN13"/>
    <mergeCell ref="EW13:EX13"/>
    <mergeCell ref="EY13:EZ13"/>
    <mergeCell ref="EW12:EX12"/>
    <mergeCell ref="EY12:EZ12"/>
    <mergeCell ref="DM7:DV7"/>
    <mergeCell ref="DO12:DP12"/>
    <mergeCell ref="CW13:CX13"/>
    <mergeCell ref="DA12:DB12"/>
    <mergeCell ref="DC12:DD12"/>
    <mergeCell ref="EG12:EH12"/>
    <mergeCell ref="GS10:GT13"/>
    <mergeCell ref="GC13:GD13"/>
    <mergeCell ref="FC12:FD12"/>
    <mergeCell ref="GO10:GP13"/>
    <mergeCell ref="GG13:GH13"/>
    <mergeCell ref="GC12:GD12"/>
    <mergeCell ref="EO13:EP13"/>
    <mergeCell ref="EE12:EF12"/>
    <mergeCell ref="EQ12:ER12"/>
    <mergeCell ref="CS12:CT12"/>
    <mergeCell ref="CU12:CV12"/>
    <mergeCell ref="EM12:EN12"/>
    <mergeCell ref="EC12:ED12"/>
    <mergeCell ref="DW12:DX12"/>
    <mergeCell ref="DY12:DZ12"/>
    <mergeCell ref="EA12:EB12"/>
    <mergeCell ref="DK12:DL12"/>
    <mergeCell ref="O12:P12"/>
    <mergeCell ref="Q12:R12"/>
    <mergeCell ref="S12:T12"/>
    <mergeCell ref="U12:V12"/>
    <mergeCell ref="C12:D12"/>
    <mergeCell ref="G12:H12"/>
    <mergeCell ref="I12:J12"/>
    <mergeCell ref="K12:L12"/>
    <mergeCell ref="E12:F12"/>
    <mergeCell ref="AS13:AT13"/>
    <mergeCell ref="AQ12:AR12"/>
    <mergeCell ref="CG10:CL11"/>
    <mergeCell ref="CM10:CV11"/>
    <mergeCell ref="BS11:BX11"/>
    <mergeCell ref="CU13:CV13"/>
    <mergeCell ref="CG12:CH12"/>
    <mergeCell ref="CI12:CJ12"/>
    <mergeCell ref="CK12:CL12"/>
    <mergeCell ref="CM12:CN12"/>
    <mergeCell ref="AO13:AP13"/>
    <mergeCell ref="AQ13:AR13"/>
    <mergeCell ref="AM13:AN13"/>
    <mergeCell ref="AG13:AH13"/>
    <mergeCell ref="Q13:R13"/>
    <mergeCell ref="U13:V13"/>
    <mergeCell ref="W13:X13"/>
    <mergeCell ref="AK13:AL13"/>
    <mergeCell ref="AI13:AJ13"/>
    <mergeCell ref="Y13:Z13"/>
    <mergeCell ref="AA13:AB13"/>
    <mergeCell ref="AE13:AF13"/>
    <mergeCell ref="S13:T13"/>
    <mergeCell ref="AC13:AD13"/>
    <mergeCell ref="DI13:DJ13"/>
    <mergeCell ref="DU13:DV13"/>
    <mergeCell ref="BY13:BZ13"/>
    <mergeCell ref="CA13:CB13"/>
    <mergeCell ref="DG13:DH13"/>
    <mergeCell ref="CG13:CH13"/>
    <mergeCell ref="DC13:DD13"/>
    <mergeCell ref="CI13:CJ13"/>
    <mergeCell ref="CK13:CL13"/>
    <mergeCell ref="CO13:CP13"/>
    <mergeCell ref="DE13:DF13"/>
    <mergeCell ref="AW13:AX13"/>
    <mergeCell ref="AY13:AZ13"/>
    <mergeCell ref="BK13:BL13"/>
    <mergeCell ref="BO13:BP13"/>
    <mergeCell ref="BM13:BN13"/>
    <mergeCell ref="CQ13:CR13"/>
    <mergeCell ref="CS13:CT13"/>
    <mergeCell ref="BS13:BT13"/>
    <mergeCell ref="BU13:BV13"/>
    <mergeCell ref="DA13:DB13"/>
    <mergeCell ref="CM13:CN13"/>
    <mergeCell ref="CY13:CZ13"/>
    <mergeCell ref="AU13:AV13"/>
    <mergeCell ref="BG13:BH13"/>
    <mergeCell ref="BI13:BJ13"/>
    <mergeCell ref="CE13:CF13"/>
    <mergeCell ref="BQ13:BR13"/>
    <mergeCell ref="BW13:BX13"/>
    <mergeCell ref="CC13:CD13"/>
    <mergeCell ref="BA13:BB13"/>
    <mergeCell ref="BC13:BD13"/>
    <mergeCell ref="BE13:BF13"/>
    <mergeCell ref="GU10:GV13"/>
    <mergeCell ref="FE12:FF12"/>
    <mergeCell ref="FQ12:FR12"/>
    <mergeCell ref="FS12:FT12"/>
    <mergeCell ref="FU12:FV12"/>
    <mergeCell ref="GK10:GL13"/>
    <mergeCell ref="GQ10:GR13"/>
    <mergeCell ref="GE13:GF13"/>
    <mergeCell ref="GI13:GJ13"/>
    <mergeCell ref="FO13:FP13"/>
    <mergeCell ref="FK13:FL13"/>
    <mergeCell ref="FS13:FT13"/>
    <mergeCell ref="FM13:FN13"/>
    <mergeCell ref="GA12:GB12"/>
    <mergeCell ref="FM12:FN12"/>
    <mergeCell ref="GE12:GF12"/>
    <mergeCell ref="GG12:GH12"/>
    <mergeCell ref="GI12:GJ12"/>
    <mergeCell ref="GA13:GB13"/>
    <mergeCell ref="EC13:ED13"/>
    <mergeCell ref="EK13:EL13"/>
    <mergeCell ref="EE13:EF13"/>
    <mergeCell ref="EI13:EJ13"/>
    <mergeCell ref="DM13:DN13"/>
    <mergeCell ref="DK13:DL13"/>
    <mergeCell ref="DY13:DZ13"/>
    <mergeCell ref="DW13:DX13"/>
    <mergeCell ref="DS13:DT13"/>
    <mergeCell ref="DO13:DP13"/>
    <mergeCell ref="DQ13:DR13"/>
    <mergeCell ref="FG12:FH12"/>
    <mergeCell ref="FI12:FJ12"/>
    <mergeCell ref="EG13:EH13"/>
    <mergeCell ref="FA13:FB13"/>
    <mergeCell ref="FC13:FD13"/>
    <mergeCell ref="EM13:EN13"/>
    <mergeCell ref="EA13:EB13"/>
    <mergeCell ref="FI13:FJ13"/>
    <mergeCell ref="FE13:FF13"/>
    <mergeCell ref="FY12:FZ12"/>
    <mergeCell ref="FU13:FV13"/>
    <mergeCell ref="FY13:FZ13"/>
    <mergeCell ref="FG13:FH13"/>
    <mergeCell ref="FQ13:FR13"/>
    <mergeCell ref="FK12:FL12"/>
    <mergeCell ref="FW12:FX12"/>
    <mergeCell ref="FW13:FX13"/>
    <mergeCell ref="FO12:FP12"/>
    <mergeCell ref="EO12:EP12"/>
    <mergeCell ref="EK12:EL12"/>
    <mergeCell ref="FA12:FB12"/>
    <mergeCell ref="EU13:EV13"/>
    <mergeCell ref="EU12:EV12"/>
    <mergeCell ref="ES12:ET12"/>
    <mergeCell ref="EQ13:ER13"/>
    <mergeCell ref="ES13:ET13"/>
    <mergeCell ref="DU12:DV12"/>
    <mergeCell ref="DQ12:DR12"/>
    <mergeCell ref="BI12:BJ12"/>
    <mergeCell ref="E9:F11"/>
    <mergeCell ref="AW9:AX11"/>
    <mergeCell ref="W12:X12"/>
    <mergeCell ref="AC12:AD12"/>
    <mergeCell ref="CC12:CD12"/>
    <mergeCell ref="BW12:BX12"/>
    <mergeCell ref="AS12:AT12"/>
    <mergeCell ref="DS12:DT12"/>
    <mergeCell ref="BY12:BZ12"/>
    <mergeCell ref="CA12:CB12"/>
    <mergeCell ref="AU12:AV12"/>
    <mergeCell ref="AW12:AX12"/>
    <mergeCell ref="BU12:BV12"/>
    <mergeCell ref="BM12:BN12"/>
    <mergeCell ref="BO12:BP12"/>
    <mergeCell ref="BQ12:BR12"/>
    <mergeCell ref="BS12:BT12"/>
    <mergeCell ref="Y12:Z12"/>
    <mergeCell ref="AA12:AB12"/>
    <mergeCell ref="M12:N12"/>
    <mergeCell ref="DM12:DN12"/>
    <mergeCell ref="DI12:DJ12"/>
    <mergeCell ref="AO12:AP12"/>
    <mergeCell ref="AG12:AH12"/>
    <mergeCell ref="AI12:AJ12"/>
    <mergeCell ref="AM12:AN12"/>
    <mergeCell ref="AE12:AF12"/>
    <mergeCell ref="AK12:AL12"/>
    <mergeCell ref="AY12:AZ12"/>
    <mergeCell ref="CW10:DD11"/>
    <mergeCell ref="BG9:BP9"/>
    <mergeCell ref="BA12:BB12"/>
    <mergeCell ref="BC12:BD12"/>
    <mergeCell ref="BE12:BF12"/>
    <mergeCell ref="BG12:BH12"/>
    <mergeCell ref="CW12:CX12"/>
    <mergeCell ref="CO12:CP12"/>
    <mergeCell ref="EJ1:ET6"/>
    <mergeCell ref="A7:A14"/>
    <mergeCell ref="B7:B14"/>
    <mergeCell ref="C13:D13"/>
    <mergeCell ref="E13:F13"/>
    <mergeCell ref="G13:H13"/>
    <mergeCell ref="M13:N13"/>
    <mergeCell ref="I13:J13"/>
    <mergeCell ref="CW9:DD9"/>
    <mergeCell ref="BG10:BJ11"/>
    <mergeCell ref="K13:L13"/>
    <mergeCell ref="O13:P13"/>
    <mergeCell ref="HB7:HC13"/>
    <mergeCell ref="DG9:DH11"/>
    <mergeCell ref="DE12:DF12"/>
    <mergeCell ref="CC9:CL9"/>
    <mergeCell ref="CM9:CV9"/>
    <mergeCell ref="CW7:DD7"/>
    <mergeCell ref="DM10:DV11"/>
    <mergeCell ref="DW10:EF11"/>
    <mergeCell ref="DI9:DL9"/>
    <mergeCell ref="DI10:DL11"/>
    <mergeCell ref="CW8:DD8"/>
    <mergeCell ref="AY10:BF11"/>
    <mergeCell ref="DE8:DF11"/>
    <mergeCell ref="CE11:CF12"/>
    <mergeCell ref="BK11:BL12"/>
    <mergeCell ref="DG12:DH12"/>
    <mergeCell ref="CQ12:CR12"/>
    <mergeCell ref="CY12:CZ12"/>
    <mergeCell ref="C8:D11"/>
    <mergeCell ref="AM10:AV11"/>
    <mergeCell ref="M10:R11"/>
    <mergeCell ref="AW8:BF8"/>
    <mergeCell ref="AG10:AL11"/>
    <mergeCell ref="C7:J7"/>
    <mergeCell ref="K7:R7"/>
    <mergeCell ref="S7:AB7"/>
    <mergeCell ref="AC7:AL7"/>
    <mergeCell ref="BK10:BP10"/>
    <mergeCell ref="BQ10:CB10"/>
    <mergeCell ref="BY11:CB11"/>
    <mergeCell ref="CC11:CD11"/>
    <mergeCell ref="CC10:CF10"/>
    <mergeCell ref="AC10:AF11"/>
    <mergeCell ref="CC7:CL7"/>
    <mergeCell ref="CC8:CL8"/>
    <mergeCell ref="AM8:AV8"/>
    <mergeCell ref="AM9:AV9"/>
    <mergeCell ref="BG7:BP7"/>
    <mergeCell ref="BQ9:CB9"/>
    <mergeCell ref="AY9:BF9"/>
    <mergeCell ref="BM11:BP11"/>
    <mergeCell ref="BQ11:BR11"/>
    <mergeCell ref="S8:AB8"/>
    <mergeCell ref="CM7:CV7"/>
    <mergeCell ref="CM8:CV8"/>
    <mergeCell ref="S9:AB9"/>
    <mergeCell ref="AC8:AL8"/>
    <mergeCell ref="AC9:AL9"/>
    <mergeCell ref="AM7:AV7"/>
    <mergeCell ref="AW7:BF7"/>
    <mergeCell ref="BG8:BP8"/>
    <mergeCell ref="BQ7:CB7"/>
    <mergeCell ref="BQ8:CB8"/>
    <mergeCell ref="DE7:DL7"/>
    <mergeCell ref="DG8:DL8"/>
    <mergeCell ref="FE10:FJ11"/>
    <mergeCell ref="DM9:DV9"/>
    <mergeCell ref="DW9:EF9"/>
    <mergeCell ref="DW8:EF8"/>
    <mergeCell ref="EG9:EP9"/>
    <mergeCell ref="EG8:EP8"/>
    <mergeCell ref="DM8:DV8"/>
    <mergeCell ref="FC10:FD11"/>
    <mergeCell ref="FA9:FB11"/>
    <mergeCell ref="EG10:EP11"/>
    <mergeCell ref="EQ7:EZ7"/>
    <mergeCell ref="EQ8:EZ8"/>
    <mergeCell ref="EQ9:EZ9"/>
    <mergeCell ref="EQ10:EZ11"/>
    <mergeCell ref="EG7:EP7"/>
    <mergeCell ref="FU10:GB11"/>
    <mergeCell ref="FU9:GD9"/>
    <mergeCell ref="FU7:GD7"/>
    <mergeCell ref="GC10:GD11"/>
    <mergeCell ref="S10:AB11"/>
    <mergeCell ref="GE10:GJ11"/>
    <mergeCell ref="GE9:GJ9"/>
    <mergeCell ref="GE7:GJ7"/>
    <mergeCell ref="GE8:GJ8"/>
    <mergeCell ref="FU8:GD8"/>
    <mergeCell ref="FK7:FT7"/>
    <mergeCell ref="FK8:FT8"/>
    <mergeCell ref="FK9:FT9"/>
    <mergeCell ref="FK10:FT11"/>
    <mergeCell ref="G10:J11"/>
    <mergeCell ref="K10:L11"/>
    <mergeCell ref="K9:R9"/>
    <mergeCell ref="K8:R8"/>
    <mergeCell ref="GQ7:GV8"/>
    <mergeCell ref="GK9:GP9"/>
    <mergeCell ref="GQ9:GV9"/>
    <mergeCell ref="G9:J9"/>
    <mergeCell ref="E8:J8"/>
    <mergeCell ref="GK7:GP8"/>
    <mergeCell ref="FA7:FJ7"/>
    <mergeCell ref="FA8:FJ8"/>
    <mergeCell ref="FC9:FJ9"/>
    <mergeCell ref="DW7:EF7"/>
  </mergeCells>
  <dataValidations count="2">
    <dataValidation allowBlank="1" showErrorMessage="1" sqref="HB7 BO7:BP8 BQ7:BY9 DM7:DW7 DI9:DI10 B4 B2 AG13:AH70 DI12:DJ70 BA13:BJ17 FC14:FD70 GC12:GD70 CG14:CH70 S13:T70 AY13:AZ70 AM13:AN70 EG15:EH70 AY9:AY10 M13:N70 BY14:BZ70 CM13:CN70 CW12:CX70 FA7:FA70 G13:H70 EG7:EQ7 FV7:GD7 B18:B44 BS14:BT38 A33:A34 A23 A21 A19 CO15:CV17 A27 BS44:BT44 DM9:EZ9 EG13:ET13 DE7:DE70 CW10 CM10 CG10 CC7:CC9 BM11:BM12 AX7:BG7 BU13:BX17 GE7:GE8 D8:E70 AM10 AG7:AG10 FU7:FU8 S7:S10 F9:F70 A31 M10 BK13:BN70 CQ7:CW7 BT13 AN7:AV7 K1:M2 CE11 EG10 DH9:DH70 DF8:DG70 EC13 DM13 DO13 DQ13 DS13 DU13 DW13 DY13 EA13 DL12:ET12 AI13:AL17 FC9:FC13 FD10:FD11 A25 A29 DK14:ED17 A7:B17 HB14:HC70 O13:R17 I13:L17 U13:AF17 AO13:AV17 BO13:BR17 CA13:CF17 CO13:CT14 CI13:CL17 EE14:EV14 CY12:DD17 EE13 GM10:GV17 EU12:EV13 EI15:EZ17 CU12:CV14 A1:B1 FB9:FB70 FD13 FE12:GB17"/>
    <dataValidation allowBlank="1" showErrorMessage="1" sqref="GI12:GI13 GJ13 GE12:GH17 GL10:GL13 GK9:GK13 EW12:EZ14 GI14:GL17 DK12:DK13 EE15:EF17 BZ13 BY11:BY13 CH13 CG12:CG13 BS11:BS13 G9:G10 C7:C70 K7:K9 AC7:AF9 AX9:AX70 AW7:AW70 BG8 AH7:AM9 BZ9:CB9 FK7:FK8 BK10:BK11"/>
  </dataValidations>
  <printOptions/>
  <pageMargins left="0.24" right="0.29" top="0.23" bottom="0.16" header="0.22" footer="0.1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2014-09-19T09:43:10Z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